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6204" yWindow="65524" windowWidth="21528" windowHeight="12216" tabRatio="896" activeTab="1"/>
  </bookViews>
  <sheets>
    <sheet name="strona tyt PRKO" sheetId="1" r:id="rId1"/>
    <sheet name="KO1" sheetId="2" r:id="rId2"/>
    <sheet name="KO2" sheetId="3" state="hidden" r:id="rId3"/>
    <sheet name="KO4" sheetId="4" state="hidden" r:id="rId4"/>
    <sheet name="KO_1" sheetId="5" state="hidden" r:id="rId5"/>
    <sheet name="KO_4" sheetId="6" state="hidden" r:id="rId6"/>
    <sheet name="KO_2" sheetId="7" r:id="rId7"/>
    <sheet name="KOSZTORYS OFERTOWY ZAŁ. 2" sheetId="8" r:id="rId8"/>
    <sheet name="KI2" sheetId="9" state="hidden" r:id="rId9"/>
    <sheet name="KI4" sheetId="10" state="hidden" r:id="rId10"/>
    <sheet name="KI_4" sheetId="11" state="hidden" r:id="rId11"/>
    <sheet name="PR2_ZRID" sheetId="12" state="hidden" r:id="rId12"/>
    <sheet name="PR2_pozwolenie" sheetId="13" r:id="rId13"/>
    <sheet name="1.2.3. Zjazdy indywidualne" sheetId="14" r:id="rId14"/>
    <sheet name="1.2.3. Zjazdy indywidualne (2)" sheetId="15" state="hidden" r:id="rId15"/>
    <sheet name="4.Zdjęcie humusu" sheetId="16" state="hidden" r:id="rId16"/>
    <sheet name="5. Humusowanie" sheetId="17" state="hidden" r:id="rId17"/>
    <sheet name="6.Wykopy-Nasypy" sheetId="18" state="hidden" r:id="rId18"/>
    <sheet name="7.Koryto" sheetId="19" state="hidden" r:id="rId19"/>
    <sheet name="8.odcinająca" sheetId="20" state="hidden" r:id="rId20"/>
    <sheet name="9.wiążąca" sheetId="21" state="hidden" r:id="rId21"/>
    <sheet name="10.ścieralna" sheetId="22" state="hidden" r:id="rId22"/>
  </sheets>
  <externalReferences>
    <externalReference r:id="rId25"/>
  </externalReferences>
  <definedNames>
    <definedName name="_xlnm._FilterDatabase" localSheetId="10" hidden="1">'KI_4'!$A$3:$I$175</definedName>
    <definedName name="_xlnm._FilterDatabase" localSheetId="5" hidden="1">'KO_4'!$A$3:$I$175</definedName>
    <definedName name="_xlnm._FilterDatabase" localSheetId="7" hidden="1">'KOSZTORYS OFERTOWY ZAŁ. 2'!$A$3:$I$218</definedName>
    <definedName name="_xlnm._FilterDatabase" localSheetId="12" hidden="1">'PR2_pozwolenie'!$A$3:$F$207</definedName>
    <definedName name="_xlnm._FilterDatabase" localSheetId="11" hidden="1">'PR2_ZRID'!$A$3:$F$180</definedName>
    <definedName name="_xlnm.Print_Area" localSheetId="13">'1.2.3. Zjazdy indywidualne'!$A$2:$AF$34</definedName>
    <definedName name="_xlnm.Print_Area" localSheetId="14">'1.2.3. Zjazdy indywidualne (2)'!$B$41:$F$46</definedName>
    <definedName name="_xlnm.Print_Area" localSheetId="21">'10.ścieralna'!$A$1:$G$46</definedName>
    <definedName name="_xlnm.Print_Area" localSheetId="15">'4.Zdjęcie humusu'!$A$1:$F$58</definedName>
    <definedName name="_xlnm.Print_Area" localSheetId="16">'5. Humusowanie'!$A$1:$F$61</definedName>
    <definedName name="_xlnm.Print_Area" localSheetId="17">'6.Wykopy-Nasypy'!$A$1:$N$77</definedName>
    <definedName name="_xlnm.Print_Area" localSheetId="18">'7.Koryto'!$A$1:$G$55</definedName>
    <definedName name="_xlnm.Print_Area" localSheetId="19">'8.odcinająca'!$A$1:$G$54</definedName>
    <definedName name="_xlnm.Print_Area" localSheetId="20">'9.wiążąca'!$A$1:$G$46</definedName>
    <definedName name="_xlnm.Print_Area" localSheetId="10">'KI_4'!$A$1:$I$192</definedName>
    <definedName name="_xlnm.Print_Area" localSheetId="8">'KI2'!$A$1:$E$48</definedName>
    <definedName name="_xlnm.Print_Area" localSheetId="9">'KI4'!$A$1:$K$177</definedName>
    <definedName name="_xlnm.Print_Area" localSheetId="4">'KO_1'!$A$1:$I$35</definedName>
    <definedName name="_xlnm.Print_Area" localSheetId="6">'KO_2'!$A$1:$E$31</definedName>
    <definedName name="_xlnm.Print_Area" localSheetId="5">'KO_4'!$A$1:$I$192</definedName>
    <definedName name="_xlnm.Print_Area" localSheetId="3">'KO4'!$A$1:$K$177</definedName>
    <definedName name="_xlnm.Print_Area" localSheetId="7">'KOSZTORYS OFERTOWY ZAŁ. 2'!$A$1:$I$294</definedName>
    <definedName name="_xlnm.Print_Area" localSheetId="12">'PR2_pozwolenie'!$A$1:$F$272</definedName>
    <definedName name="_xlnm.Print_Area" localSheetId="11">'PR2_ZRID'!$A$1:$F$180</definedName>
  </definedNames>
  <calcPr fullCalcOnLoad="1" fullPrecision="0"/>
</workbook>
</file>

<file path=xl/comments10.xml><?xml version="1.0" encoding="utf-8"?>
<comments xmlns="http://schemas.openxmlformats.org/spreadsheetml/2006/main">
  <authors>
    <author>Charchut Roman</author>
  </authors>
  <commentList>
    <comment ref="C115" authorId="0">
      <text>
        <r>
          <rPr>
            <b/>
            <sz val="9"/>
            <rFont val="Tahoma"/>
            <family val="2"/>
          </rPr>
          <t>Charchut Roman:</t>
        </r>
        <r>
          <rPr>
            <sz val="9"/>
            <rFont val="Tahoma"/>
            <family val="2"/>
          </rPr>
          <t xml:space="preserve">
sprawdzić nr rysunku</t>
        </r>
      </text>
    </comment>
  </commentList>
</comments>
</file>

<file path=xl/comments3.xml><?xml version="1.0" encoding="utf-8"?>
<comments xmlns="http://schemas.openxmlformats.org/spreadsheetml/2006/main">
  <authors>
    <author>TM</author>
  </authors>
  <commentList>
    <comment ref="A1" authorId="0">
      <text>
        <r>
          <rPr>
            <b/>
            <sz val="8"/>
            <rFont val="Tahoma"/>
            <family val="2"/>
          </rPr>
          <t>TM: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Charchut Roman</author>
  </authors>
  <commentList>
    <comment ref="C115" authorId="0">
      <text>
        <r>
          <rPr>
            <b/>
            <sz val="9"/>
            <rFont val="Tahoma"/>
            <family val="2"/>
          </rPr>
          <t>Charchut Roman:</t>
        </r>
        <r>
          <rPr>
            <sz val="9"/>
            <rFont val="Tahoma"/>
            <family val="2"/>
          </rPr>
          <t xml:space="preserve">
sprawdzić nr rysunku</t>
        </r>
      </text>
    </comment>
  </commentList>
</comments>
</file>

<file path=xl/sharedStrings.xml><?xml version="1.0" encoding="utf-8"?>
<sst xmlns="http://schemas.openxmlformats.org/spreadsheetml/2006/main" count="5868" uniqueCount="1097">
  <si>
    <t>06.01.01.22</t>
  </si>
  <si>
    <t>08.02.02.21</t>
  </si>
  <si>
    <t>08.03.01.12</t>
  </si>
  <si>
    <t>Poz.</t>
  </si>
  <si>
    <t>Wyszczególnienie elementów rozliczeniowych
(Opis robót i obliczenie ich ilości)</t>
  </si>
  <si>
    <t>Nazwa jednostki</t>
  </si>
  <si>
    <t>Ilość jednostek</t>
  </si>
  <si>
    <t>Razem</t>
  </si>
  <si>
    <t/>
  </si>
  <si>
    <t>szt.</t>
  </si>
  <si>
    <t>Rozbiórki elementów dróg, ogrodzeń i przepustów</t>
  </si>
  <si>
    <t>m</t>
  </si>
  <si>
    <t>szt</t>
  </si>
  <si>
    <t>01.01.01</t>
  </si>
  <si>
    <t>01.02.02</t>
  </si>
  <si>
    <t>01.02.04</t>
  </si>
  <si>
    <t>PRZEDMIAR ROBÓT</t>
  </si>
  <si>
    <t>04.03.01</t>
  </si>
  <si>
    <t>Oczyszczenie i skropienie warstw konstrukcyjnych</t>
  </si>
  <si>
    <t>04.04.02</t>
  </si>
  <si>
    <t>Podbudowy z kruszywa łamanego stabilizowanego mechanicznie</t>
  </si>
  <si>
    <t>05.03.05</t>
  </si>
  <si>
    <t>Nawierzchnia z betonu asfaltowego</t>
  </si>
  <si>
    <t>06.01.01</t>
  </si>
  <si>
    <t>08.01.01</t>
  </si>
  <si>
    <t>Krawężniki betonowe</t>
  </si>
  <si>
    <t>08.02.02</t>
  </si>
  <si>
    <t>Chodnik z brukowej kostki betonowej</t>
  </si>
  <si>
    <t>08.03.01</t>
  </si>
  <si>
    <t xml:space="preserve">Betonowe obrzeża chodnikowe </t>
  </si>
  <si>
    <t>01.02.04.11</t>
  </si>
  <si>
    <t>01.02.04.22</t>
  </si>
  <si>
    <t>01.02.04.81</t>
  </si>
  <si>
    <t>I</t>
  </si>
  <si>
    <t>x</t>
  </si>
  <si>
    <t>6.1</t>
  </si>
  <si>
    <t>10.1</t>
  </si>
  <si>
    <t>01.02.04.44</t>
  </si>
  <si>
    <t>II</t>
  </si>
  <si>
    <t>Inwestor:</t>
  </si>
  <si>
    <t>Nazwa zadania:</t>
  </si>
  <si>
    <t>KOSZTORYS OFERTOWY</t>
  </si>
  <si>
    <t>zł (netto)</t>
  </si>
  <si>
    <r>
      <t>Słownie</t>
    </r>
    <r>
      <rPr>
        <i/>
        <sz val="10"/>
        <rFont val="Arial"/>
        <family val="2"/>
      </rPr>
      <t>:</t>
    </r>
  </si>
  <si>
    <t>zł (brutto)</t>
  </si>
  <si>
    <t>Słownie:</t>
  </si>
  <si>
    <t xml:space="preserve"> TABELA WARTOŚCI ELEMENTÓW  SCALONYCH </t>
  </si>
  <si>
    <t>Oznaczenie elementu</t>
  </si>
  <si>
    <t>Wyszczególnienie</t>
  </si>
  <si>
    <t xml:space="preserve">Wartość netto 
(PLN) </t>
  </si>
  <si>
    <t>KOSZT DOSTOSOWANIA SIĘ DO WYMAGAŃ WARUNKÓW KONTRAKTU</t>
  </si>
  <si>
    <t>ROBOTY  PRZYGOTOWAWCZE</t>
  </si>
  <si>
    <t>D</t>
  </si>
  <si>
    <t>E</t>
  </si>
  <si>
    <t>PODBUDOWY</t>
  </si>
  <si>
    <t>NAWIERZCHNIE</t>
  </si>
  <si>
    <t>ROBOTY  WYKOŃCZENIOWE</t>
  </si>
  <si>
    <t>ELEMENTY ULIC</t>
  </si>
  <si>
    <t>A</t>
  </si>
  <si>
    <t>SST 01.00.00
CPV 45111000-8</t>
  </si>
  <si>
    <t>B</t>
  </si>
  <si>
    <t>SST 04.00.00
CPV 45233000-9</t>
  </si>
  <si>
    <t>C</t>
  </si>
  <si>
    <t>SST 05.00.00
CPV 45233000-9</t>
  </si>
  <si>
    <t>SST 06.00.00
CPV 45233000-9</t>
  </si>
  <si>
    <t>F</t>
  </si>
  <si>
    <t>SST 07.00.00
CPV 45233000-9</t>
  </si>
  <si>
    <t>G</t>
  </si>
  <si>
    <t>SST 08.00.00
CPV 45233000-9</t>
  </si>
  <si>
    <t>00.00.00</t>
  </si>
  <si>
    <t>Cena jedn.
[zł]</t>
  </si>
  <si>
    <t>Wartość
[zł]</t>
  </si>
  <si>
    <t>KOSZTORYS INWESTORSKI</t>
  </si>
  <si>
    <t>SST 00.00.00</t>
  </si>
  <si>
    <t>01.02.02.12</t>
  </si>
  <si>
    <t>02.03.01</t>
  </si>
  <si>
    <t>Wykonanie nasypów</t>
  </si>
  <si>
    <t>Skropienie warstw konstrukcyjnych ulepszonych emulsją asfaltową</t>
  </si>
  <si>
    <t>04.03.01.24</t>
  </si>
  <si>
    <t>Humusowanie z obsianiem skarp przy grubości humusu 10 cm</t>
  </si>
  <si>
    <t>ROBOTY ZIEMNE</t>
  </si>
  <si>
    <t>PODATEK VAT 23%</t>
  </si>
  <si>
    <t>Adres zadania:</t>
  </si>
  <si>
    <t>Kalkulację sporządził:</t>
  </si>
  <si>
    <t>Data opracowania kalkulacji:</t>
  </si>
  <si>
    <t>.............................</t>
  </si>
  <si>
    <t>Sporządził:</t>
  </si>
  <si>
    <t>Lp</t>
  </si>
  <si>
    <t>1.</t>
  </si>
  <si>
    <t>2.</t>
  </si>
  <si>
    <t>3.</t>
  </si>
  <si>
    <t>4.</t>
  </si>
  <si>
    <t>5.</t>
  </si>
  <si>
    <t>6.</t>
  </si>
  <si>
    <t>7.</t>
  </si>
  <si>
    <t>OGÓŁEM WARTOŚĆ KOSZTORYSOWA ROBÓT BRUTTO</t>
  </si>
  <si>
    <r>
      <t>Wartość kosztorysowa robót</t>
    </r>
    <r>
      <rPr>
        <i/>
        <sz val="10"/>
        <rFont val="Arial"/>
        <family val="2"/>
      </rPr>
      <t xml:space="preserve">: </t>
    </r>
  </si>
  <si>
    <t>.......................................................................................................................................</t>
  </si>
  <si>
    <r>
      <t>Ogółem wartość kosztorysowa robót</t>
    </r>
    <r>
      <rPr>
        <i/>
        <sz val="10"/>
        <rFont val="Arial"/>
        <family val="2"/>
      </rPr>
      <t xml:space="preserve">: </t>
    </r>
  </si>
  <si>
    <t>08.02.02.10</t>
  </si>
  <si>
    <t xml:space="preserve">Wykonanie chodnika "na szlaku" z kostki brukowej betonowej o gr. 6cm </t>
  </si>
  <si>
    <t>H</t>
  </si>
  <si>
    <t>03.02.01</t>
  </si>
  <si>
    <t>Kanalizacja deszczowa</t>
  </si>
  <si>
    <t>03.02.01.23</t>
  </si>
  <si>
    <t>ODWODNIENIE KORPUSU DROGOWEGO</t>
  </si>
  <si>
    <t>8.</t>
  </si>
  <si>
    <t>04.01.01</t>
  </si>
  <si>
    <t>Koryto wraz z profilowaniem i zagęszczeniem podłoża</t>
  </si>
  <si>
    <t xml:space="preserve">Koszt dostosowania się do warunków kontraktowych </t>
  </si>
  <si>
    <t>1.1</t>
  </si>
  <si>
    <t>1.2</t>
  </si>
  <si>
    <t>1.3</t>
  </si>
  <si>
    <t>1.4</t>
  </si>
  <si>
    <t>1.5</t>
  </si>
  <si>
    <t>1.6</t>
  </si>
  <si>
    <t xml:space="preserve">Wyznaczenie trasy i punktów wysokościowych </t>
  </si>
  <si>
    <t>Zdjęcie warstwy humusu i darniny</t>
  </si>
  <si>
    <t>Rozebranie nawierzchni z kruszywa, gr. w-wy 15 cm</t>
  </si>
  <si>
    <t>01.02.04.21</t>
  </si>
  <si>
    <t>Rozebranie obrzeży betonowych</t>
  </si>
  <si>
    <t>01.02.04.83</t>
  </si>
  <si>
    <t>SST 02.00.00
CPV 45112000-5</t>
  </si>
  <si>
    <t>SST 03.00.00
CPV 45231000-5</t>
  </si>
  <si>
    <t>03.02.01.22</t>
  </si>
  <si>
    <t>04.02.01</t>
  </si>
  <si>
    <t>Warstwy odcinające</t>
  </si>
  <si>
    <t>Oczyszcznie  warstw konstrukcyjnych ulepszonych ręcznie</t>
  </si>
  <si>
    <t>05.02.01</t>
  </si>
  <si>
    <t>04.06.01</t>
  </si>
  <si>
    <t>06.01.01.42</t>
  </si>
  <si>
    <t>Oznakowanie pionowe</t>
  </si>
  <si>
    <t>07.02.01</t>
  </si>
  <si>
    <t>07.02.01.41</t>
  </si>
  <si>
    <t>Ustawienie obrzeży betonowych o wymiarach 30x8cm</t>
  </si>
  <si>
    <t>Wartość kosztorysowa robót  (netto):</t>
  </si>
  <si>
    <t>Ogółem wartość kosztorysowa robót (brutto):</t>
  </si>
  <si>
    <t>OZNAKOWANIE DRÓG I URZĄDZENIA BEZPIECZEŃSTWA RUCHU</t>
  </si>
  <si>
    <t>9.</t>
  </si>
  <si>
    <t>III</t>
  </si>
  <si>
    <t>WYMAGANIA OGÓLNE (DZIAŁ OGÓLNY)</t>
  </si>
  <si>
    <t>Podbudowy z betonu cementowego</t>
  </si>
  <si>
    <t>Nawierzchnia tłuczniowa</t>
  </si>
  <si>
    <t>Wykonanie geodezyjnej inwentaryzacji powykonawczej</t>
  </si>
  <si>
    <t>1.7</t>
  </si>
  <si>
    <t>01.01.01.22</t>
  </si>
  <si>
    <t>7.1</t>
  </si>
  <si>
    <t>8.1</t>
  </si>
  <si>
    <t>9.1</t>
  </si>
  <si>
    <t>01.02.04.24</t>
  </si>
  <si>
    <t>Rozebranie nawierzchni z brukowca</t>
  </si>
  <si>
    <t>11.1</t>
  </si>
  <si>
    <t>01.02.04.72</t>
  </si>
  <si>
    <t>Rozebranie słupków do znaków drogowych</t>
  </si>
  <si>
    <t>Zdjęcie tarcz znaków drogowych</t>
  </si>
  <si>
    <t>01.02.04.71</t>
  </si>
  <si>
    <t>01.02.04.91</t>
  </si>
  <si>
    <t>02.01.01</t>
  </si>
  <si>
    <t>02.01.01.12</t>
  </si>
  <si>
    <t xml:space="preserve">Wykonanie wykopów mechanicznie w gr. kat. I-V z transportem urobku
 w nasyp </t>
  </si>
  <si>
    <t>02.01.01.14</t>
  </si>
  <si>
    <t>Wykonanie wykopów mechanicznie w gr. kat. I-V z transportem urobku na odkład</t>
  </si>
  <si>
    <t>Wykonanie wykopów w gruntach I-V kat.</t>
  </si>
  <si>
    <t>02.03.01.11</t>
  </si>
  <si>
    <t>Wykonanie nasypów mechanicznie z gruntu kat. I-VI uzyskanego z wykopu</t>
  </si>
  <si>
    <t>03.01.01</t>
  </si>
  <si>
    <t>Przepusty pod koroną drogi</t>
  </si>
  <si>
    <t>03.01.01.11</t>
  </si>
  <si>
    <t>Ułożenie przepustów pod koroną drogi, rury żelbetowe o średnicy 60cm</t>
  </si>
  <si>
    <t>Na wykonanie 1 m przepustu składa się:</t>
  </si>
  <si>
    <t>03.01.03</t>
  </si>
  <si>
    <t>Czyszczenie urządzeń odwadniających</t>
  </si>
  <si>
    <t>03.01.03.12</t>
  </si>
  <si>
    <t>Czyszczenie przepustów z namułu o średnicy 60cm</t>
  </si>
  <si>
    <t>03.02.01.16</t>
  </si>
  <si>
    <t>Na wykonanie 1 m kanału deszczowego składa się:</t>
  </si>
  <si>
    <t>Przykanaliki deszczowe</t>
  </si>
  <si>
    <t>03.02.01.41</t>
  </si>
  <si>
    <t>&lt;obsypki 20cm ponad wierzch rury z kruszyw naturalnych - piasek, średnio: 1,0x(1,5x0,85-3,14x0,325x0,325)&gt;</t>
  </si>
  <si>
    <t>04.02.01.22</t>
  </si>
  <si>
    <t>Wykonanie warstwy odcinającej z pospółki, gr. w-wy po zagęszczeniu 10cm</t>
  </si>
  <si>
    <t>04.03.01.13</t>
  </si>
  <si>
    <t>Oczyszcznie  warstw konstrukcyjnych nieulepszonych ręcznie</t>
  </si>
  <si>
    <t>04.03.01.14</t>
  </si>
  <si>
    <t>04.03.01.23</t>
  </si>
  <si>
    <t>Skropienie warstw konstrukcyjnych nieulepszonych emulsją asfaltową</t>
  </si>
  <si>
    <t>04.04.02.23</t>
  </si>
  <si>
    <t>Wykonanie podbudowy z kruszywa łamanego 0/31,5mm stabilizowanego mechanicznie, gr. w-wy 15cm</t>
  </si>
  <si>
    <t>04.05.01</t>
  </si>
  <si>
    <t>Wykonanie podbudowy z betonu, gr. w-wy 15cm</t>
  </si>
  <si>
    <t>Umocnienie skarp, rowów i ścieków</t>
  </si>
  <si>
    <t xml:space="preserve">Umocnienie skarp brukowcem na betonie </t>
  </si>
  <si>
    <t xml:space="preserve">Ustawienie słupków z rur stalowych dla znaków drogowych </t>
  </si>
  <si>
    <t>07.02.01.45</t>
  </si>
  <si>
    <t>07.06.02</t>
  </si>
  <si>
    <t>Urządzenia zabezpieczające ruch pieszych</t>
  </si>
  <si>
    <t>07.06.02.11</t>
  </si>
  <si>
    <t>Wykonanie i zatwierdzenie projektu oznakowania robót i organizacji ruchu na czas prowadzenia robót (4 egz.) wraz z zakupem, ustawieniem, rozbiórką (po zakończeniu robót) i utrzymaniem oznakowania w trakcie realizacji robót</t>
  </si>
  <si>
    <r>
      <t xml:space="preserve">ROBOTY PRZYGOTOWAWCZE
</t>
    </r>
    <r>
      <rPr>
        <sz val="10"/>
        <rFont val="Times New Roman"/>
        <family val="1"/>
      </rPr>
      <t>Roboty w zakresie burzenia, roboty ziemne</t>
    </r>
  </si>
  <si>
    <r>
      <t>m</t>
    </r>
    <r>
      <rPr>
        <b/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</si>
  <si>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</si>
  <si>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3</t>
    </r>
  </si>
  <si>
    <r>
      <t>m</t>
    </r>
    <r>
      <rPr>
        <b/>
        <vertAlign val="superscript"/>
        <sz val="10"/>
        <rFont val="Times New Roman"/>
        <family val="1"/>
      </rPr>
      <t>3</t>
    </r>
  </si>
  <si>
    <r>
      <t xml:space="preserve">ODWODNIENIE KORPUSU DROGOWEGO
</t>
    </r>
    <r>
      <rPr>
        <sz val="10"/>
        <rFont val="Times New Roman"/>
        <family val="1"/>
      </rPr>
      <t>Roboty budowlane w zakresie budowy rurociągów, ciągów komunikacyjnych i linii energetycznych</t>
    </r>
  </si>
  <si>
    <r>
      <t xml:space="preserve">PODBUDOWY
</t>
    </r>
    <r>
      <rPr>
        <sz val="10"/>
        <rFont val="Times New Roman"/>
        <family val="1"/>
      </rPr>
      <t>Roboty w zakresie konstruowania, fundamentowania oraz wykonywania nawierzchni dróg</t>
    </r>
  </si>
  <si>
    <r>
      <t xml:space="preserve">NAWIERZCHNIE
</t>
    </r>
    <r>
      <rPr>
        <sz val="10"/>
        <rFont val="Times New Roman"/>
        <family val="1"/>
      </rPr>
      <t>Roboty w zakresie konstruowania, fundamentowania oraz wykonywania nawierzchni dróg</t>
    </r>
  </si>
  <si>
    <r>
      <t xml:space="preserve">ROBOTY WYKOŃCZENIOWE
</t>
    </r>
    <r>
      <rPr>
        <sz val="10"/>
        <rFont val="Times New Roman"/>
        <family val="1"/>
      </rPr>
      <t>Roboty w zakresie konstruowania, fundamentowania oraz wykonywania nawierzchni dróg</t>
    </r>
  </si>
  <si>
    <r>
      <t xml:space="preserve">OZNAKOWANIE DRÓG I URZĄDZENIA BEZPIECZEŃSTWA RUCHU
</t>
    </r>
    <r>
      <rPr>
        <sz val="10"/>
        <rFont val="Times New Roman"/>
        <family val="1"/>
      </rPr>
      <t>Roboty w zakresie konstruowania, fundamentowania oraz wykonywania nawierzchni dróg</t>
    </r>
  </si>
  <si>
    <r>
      <t xml:space="preserve">ELEMENTY ULIC
</t>
    </r>
    <r>
      <rPr>
        <sz val="10"/>
        <rFont val="Times New Roman"/>
        <family val="1"/>
      </rPr>
      <t>Roboty w zakresie konstruowania, fundamentowania oraz wykonywania nawierzchni dróg</t>
    </r>
  </si>
  <si>
    <t>PRZEBUDOWA GAZOCIĄGU
(ROBOTY GAZOWE)</t>
  </si>
  <si>
    <t>12.</t>
  </si>
  <si>
    <t>L</t>
  </si>
  <si>
    <t>04.06.01.12</t>
  </si>
  <si>
    <r>
      <t xml:space="preserve">ROBOTY ZIEMNE
</t>
    </r>
    <r>
      <rPr>
        <sz val="10"/>
        <rFont val="Times New Roman"/>
        <family val="1"/>
      </rPr>
      <t>Roboty w zakresie usuwania gleby</t>
    </r>
  </si>
  <si>
    <t>Cena jednostkowa</t>
  </si>
  <si>
    <t>Wyszczególnienie elementów rozliczeniowych
(Opis robót)</t>
  </si>
  <si>
    <t>WARTOŚĆ KOSZTORYSOWA ROBÓT BEZ PODATKU VAT:</t>
  </si>
  <si>
    <t>PODATEK VAT 23%:</t>
  </si>
  <si>
    <t>OGÓŁEM WARTOŚĆ KOSZTORYSOWA ROBÓT BRUTTO:</t>
  </si>
  <si>
    <t>06.04.01</t>
  </si>
  <si>
    <t>Rowy/roboty remontowe i utrzymaniowe/</t>
  </si>
  <si>
    <t>06.01.01.20</t>
  </si>
  <si>
    <t>Oczyszczenie rowów wraz z profilowaniem skarp i dna rowów</t>
  </si>
  <si>
    <t>km</t>
  </si>
  <si>
    <t>ROBOTY BUDOWLANE W ZAKRESIE GAZOCIĄGÓW</t>
  </si>
  <si>
    <t>Branża</t>
  </si>
  <si>
    <t xml:space="preserve">zł </t>
  </si>
  <si>
    <r>
      <t>Podatek VAT [23%]</t>
    </r>
    <r>
      <rPr>
        <i/>
        <sz val="10"/>
        <rFont val="Arial"/>
        <family val="2"/>
      </rPr>
      <t xml:space="preserve">: </t>
    </r>
  </si>
  <si>
    <t>Podstawy
[Nr STWiORB/ CPV]</t>
  </si>
  <si>
    <t>Wykonanie wyznaczenia granic pasa drogowego (I.P.D.) w terenie</t>
  </si>
  <si>
    <t>Wykonanie planu bezpieczeństwa i ochrony zdrowia (BIOZ) i programu zapwenienia jakości (PZJ) oraz harmonogramu rzeczowo-finansowego wraz aktualizacją w czasie robót</t>
  </si>
  <si>
    <t>BUDOWA CHODNIKA DLA PIESZYCH (ROBOTY DROGOWE)</t>
  </si>
  <si>
    <t>Wyznaczenie trasy i punktów wysokościowych w terenie równinnym</t>
  </si>
  <si>
    <t>Rozebranie podbudowy z kruszywa, gr. w-wy 15 cm</t>
  </si>
  <si>
    <t>Rozebranie podbudowy z kruszywa o gr. w-wy około 15cm na zejściu z kostki brukowej do furtki i zjazdach publicznych o nawierzchni bitumicznej. 
&lt;F1=2,50m2 - furtka F1 w km 13+754,4&gt;
&lt;F2=26,80m2- zjazd ZW2 w km 13+769,0&gt;
&lt;F3=21,25m2 - zjazd ZP1 w km 0+025,5&gt;
&lt;Razem: F=50,55m2&gt; - wg Tabeli nr 1</t>
  </si>
  <si>
    <t>Materiał z rozbiórki przechodzi na własność Zamawiającego.Transport materiału przez Wykonawcę na plac składowania wskazany przez Zamawiajacego.
&lt;V=50,55m2 x0,15m =7,58m3&gt;</t>
  </si>
  <si>
    <t>Rozebranie nawierzchni zjazdów z kruszywa, śr. gr. w-wy 15cm. 
&lt;F1=12,96m2 - zjazd ZW0 w km 13+654,5 (kruszywo naturalne)&gt;;
&lt;F2=17,30m2 - zjazd ZW1 w km 13+757,4 (kruszywo łamane)&gt;;
&lt;F3=18,40m2 - zjazd ZP2 w km 0+046,3 (kruszywo łaman)&gt;.
&lt;Razem: F=48,66m2&gt; - wg Tabeli nr 1</t>
  </si>
  <si>
    <t>5.1</t>
  </si>
  <si>
    <t>Materiał z rozbiórki przechodzi na własność Wykonawcy. Transport materiału przez Wykonawcę na plac składowania.
&lt;V=48,66m2 x0,15m =7,30m3&gt;</t>
  </si>
  <si>
    <t>Rozebranie nawierzchni z mieszanek mineralno - bitumicznych, gr. w-wy 10cm</t>
  </si>
  <si>
    <t>Rozebranie nawierzchni (w-wa ścieralna i wiążąca) z mieszanek mineralno - bitumicznych gr. w-wy około 10cm na zjazdach publicznych.
&lt;F1=26,80m2 - zjazd ZW2 w km 13+769,0&gt;,
&lt;F2=21,25m2- zjazd ZP1 w km 0+025,5&gt;.
&lt;Razem: F=48,05m2&gt; - wg Tabeli nr 1</t>
  </si>
  <si>
    <t>Materiał z rozbiórki przechodzi na własność Wykonawcy.Transport materiału przez Wykonawcę na plac składowania.
&lt;V=48,05m2 x0,10m =4,81m3&gt;</t>
  </si>
  <si>
    <t>Cięcie piłą nawierzchni bitumicznych na gł. 6-10cm wzdłuż krawędzi jezdni DW i DP (od strony poszerzenia pasa ruchu)
&lt;L=201,00m&gt; - wg rys. nr 2 Plan Sytuacyjny</t>
  </si>
  <si>
    <t>Rozebranie nawierzchni z kostki betonowej brukowej o gr. 6cm na podsypce cementowo-piaskowej o gr. 3cm na zejściu do furtki
&lt;F=2,5m2 - furtka F1 w km 13+754,4&gt; - wg Tabeli nr 1</t>
  </si>
  <si>
    <t>Materiał z rozbiórki przechodzi na własność Zamawiającego. Transport materiału przez Wykonawcę na plac składowania wskazany przez Zamawiajacego.
&lt;V=2,5m2x0,06m =0,15m3&gt;</t>
  </si>
  <si>
    <t>Rozebranie obrzeży betonowych o wym. 8x25cm na ławie cementowo-piaskowej na zejściu do furtki F1 w km 13+754,4.
&lt;L=4,80m&gt; - wg rys. nr 2 Plan Sytuacyjny</t>
  </si>
  <si>
    <t>Materiał z rozbiórki przechodzi na własność Zamawiającego.Transport materiału przez Wykonawcę na plac składowania wskazany przez Zamawiajacego.
&lt;V=0,08x0,25x4,8 =0,1m3&gt;</t>
  </si>
  <si>
    <t>Rozebranie słupków stalowych rurowych do znaków drogowych D1 i B20 (materiał do ponownego wykorzystania).
&lt;N=2,0szt.&gt;</t>
  </si>
  <si>
    <t>Zdjęcie tablic znaków D-1 i B-20 (materiał do ponownego wykorzystania).
&lt;N=2,0szt.&gt;</t>
  </si>
  <si>
    <t>Rozebranie ścianek czołowych i ław przepustów rurowych</t>
  </si>
  <si>
    <t>Materiał z rozbiórki stanowi własność Zamawiającego.Transport materiału przez Wykonawcę na plac składowania wskazany przez Zamawiającego.
&lt;V=1,98m3&gt;</t>
  </si>
  <si>
    <t>Rozebranie przepustów pod zjazdami z rur betonowych o ø40cm</t>
  </si>
  <si>
    <t>Materiał z rozbiórki stanowi własność Zamawiającego.Transport materiału przez Wykonawcę na plac składowania wskazany przez Zamawiającego.
&lt;V=0,60m3&gt;</t>
  </si>
  <si>
    <t>&lt; wykonanie podsypki z pospółki na szerokość średnicy przepustu - grubość (średnia) podsypki 30 cm: 0,26m2x1,0m&gt;</t>
  </si>
  <si>
    <t>&lt; odkopanie przepustu średnio: 1,32m2x1,0m&gt;</t>
  </si>
  <si>
    <t>&lt; wykonanie zasypki  piaskowo-żwirowej przepustu średnio:  0,66m2x1,0m&gt;</t>
  </si>
  <si>
    <t>Wykonanie przedłużenia istniejącego przepustu drogowego "P1" w km 13+812,0 poprzez ułożenie rur jednootworowych, żelbetowych o śr. wew. 60cm wraz z podłączeniem do studni "SP1", izolacja R+2P.
&lt;L= 2,0m - istn. przepust P1 od strony wlotu (studnia SP1)&gt; - wg rys. nr 2 Plan sytuacyjny  i Tabeli nr 3</t>
  </si>
  <si>
    <t>Branża:</t>
  </si>
  <si>
    <t>Rozebranie przepustów z rur żelbetonowych o ø50 i 60cm</t>
  </si>
  <si>
    <t>&lt;podłoża pod kanały z materiałów sypkich - piasku, grubość 20·cm, średnio: 0,18m2x1,0m&gt;</t>
  </si>
  <si>
    <t>Wykonanie studzienek ściekowych (WD1 - WD4) o średnicy 500mm z osadnikiem (kompletne).
&lt;N=4,0szt - studzienki od WD1 do WD4&gt; - wg rys. nr 2 Plan Sytuacyjny i szczegółu nr 1.12</t>
  </si>
  <si>
    <t>04.01.01.15</t>
  </si>
  <si>
    <t>Wykonanie koryta mechanicznie wraz z profilowaniem i zagęszczaniem podłoża w gr. kat I-VI, głębok. koryta ponad 40cm</t>
  </si>
  <si>
    <t>04.04.02.25</t>
  </si>
  <si>
    <t>Wykonanie podbudowy z kruszywa łamanego 0/31,5mm stabilizowanego mechanicznie, gr. w-wy 25cm</t>
  </si>
  <si>
    <t>Podbudowa z kruszywa stabilizowanego cemenetem</t>
  </si>
  <si>
    <t>Wykonanie podbudowy z kruszywa stabilizowanego cemenetm, gr. w-wy 15cm</t>
  </si>
  <si>
    <t>04.05.01.41</t>
  </si>
  <si>
    <t>04.07.01</t>
  </si>
  <si>
    <t>Podbudowa z betonu asfaltowego</t>
  </si>
  <si>
    <t>Wykonanie podbudowy z betonu asfaltowego AC, gr. w-wy 8 cm</t>
  </si>
  <si>
    <t>Wykonanie nawierzchni z tłucznia kamiennego, gr. w-wy 15cm</t>
  </si>
  <si>
    <t>05.02.01.12</t>
  </si>
  <si>
    <t>Wykonanie nawierzchni z betonu asfaltowego AC warstwa wiążąca,  gr. w-wy 5 cm</t>
  </si>
  <si>
    <t>Wykonanie nawierzchni z betonu asfaltowego AC warstwa wiążąca,  gr. w-wy 7 cm</t>
  </si>
  <si>
    <t>Wykonanie nawierzchni z betonu asfaltowego AC warstwa ścieralna, gr. w-wy 4 cm</t>
  </si>
  <si>
    <t>Wykonanie nawierzchni z betonu asfaltowego AC warstwa ścieralna, gr. w-wy 5 cm</t>
  </si>
  <si>
    <t>Oczyszczenie wraz z profilowaniem skarp i dna rowu przed wlotem "Wl1" i "Wl2" do kanału deszczowego Dn500.
&lt;L1=10,0m - przed wlotem "Wl1"&gt;;
&lt;L2=13,0m - przed wlotem "Wl2"&gt;.
&lt;Razem: L=23,0m&gt; - wg rys. 2 Plan sytuacyjny</t>
  </si>
  <si>
    <t>Ustawienie słupków z rur stalowych dla znaków drogowych D1 i B20- materiał z rozbiórki (z odzysku). 
&lt;N=2,0szt.&gt;</t>
  </si>
  <si>
    <t>Przymocowanie tarcz do słupków</t>
  </si>
  <si>
    <t>Przymocowanie tablic znaków drogowych D1 i B20 do słupków stalowych - matariał z rozbiórki (z oddzysku). 
&lt;N=2,0szt.&gt;</t>
  </si>
  <si>
    <t xml:space="preserve">Ustawienie poręczy ochronnych sztywnych </t>
  </si>
  <si>
    <t>Ustawienie ogrodzeń segmentowych (balustrad szczeblinkowych)  na fundamencie betonowym.
&lt;L=36,00m&gt;  - wg rys. Szczegółu nr 1.8 i rys. nr 2 Plan sytuacyjny</t>
  </si>
  <si>
    <t>08.01.01.12</t>
  </si>
  <si>
    <t>Ustawienie krawężników betonowych o wymiarach 20x30cm na ławie betonowej z oporem</t>
  </si>
  <si>
    <t xml:space="preserve">Wykonanie chodnika na zjazdach z kostki kolorowej brukowej betonowej o gr. 8 cm </t>
  </si>
  <si>
    <t>05.03.05.A</t>
  </si>
  <si>
    <t>05.03.05.C</t>
  </si>
  <si>
    <t>04.07.01.A</t>
  </si>
  <si>
    <t>M. CZARNA SĘDZISZOWSKA
GMINA SĘDZISZÓW MAŁOPOLSKI
POWIAT ROPCZYCKO - SĘDZISZOWSKI
WOJ. PODKARPACKIE</t>
  </si>
  <si>
    <t>RAZEM [I]</t>
  </si>
  <si>
    <t>RAZEM [II]</t>
  </si>
  <si>
    <t xml:space="preserve">WARTOŚĆ KOSZTORYSOWA ROBÓT NETTO [I+II] </t>
  </si>
  <si>
    <t>Mechaniczne usunięcie warstwy ziemi urodzajnej (humusu) o średniej gr. w-wy 15 cm z darniną do późniejszego wykorzystania</t>
  </si>
  <si>
    <t>Mechaniczne usunięcie warstwy ziemi urodzajnej (humusu) o średniej gr. w-wy 15 cm z darniną z transportem na odkład</t>
  </si>
  <si>
    <t>01.02.02.15</t>
  </si>
  <si>
    <t>7.2</t>
  </si>
  <si>
    <r>
      <t xml:space="preserve">Rozebranie przepustów pod zjazdami z rur betonowych o średnicy </t>
    </r>
    <r>
      <rPr>
        <sz val="10"/>
        <rFont val="Czcionka tekstu podstawowego"/>
        <family val="0"/>
      </rPr>
      <t>ø</t>
    </r>
    <r>
      <rPr>
        <sz val="10"/>
        <rFont val="Times New Roman"/>
        <family val="1"/>
      </rPr>
      <t>40cm wraz z zasypką i ławą (podsypką).
&lt;L=28,00m &gt;- wg Tabeli nr 1</t>
    </r>
  </si>
  <si>
    <t>Rozebranie przepustów pod zjazdami z rur żelbetonowych o średnicy ø50cm i części przepustu drogowego "P1" o srednicy ø60cm wraz z zasypką i ławą (podsypką).
&lt;L1=8,00m- przepusty o ø50cm&gt;;
&lt;L2=1,0m - przepusy o ø60cm&gt;
&lt;Razem: L= 9,00m&gt; - wg Tabeli nr 1 i 3</t>
  </si>
  <si>
    <t>Rozebranie betonowej ścianki czołowej na wlocie do przepustu drogowego "P1" ø 60cm w km 13+812,0. Materiał z rozbiórki stanowi własność Wykonawcy. Transport materiału przez Wykonawcę na plac składowania. 
&lt;V= 2,19m3&gt;- wg Tabeli nr 1</t>
  </si>
  <si>
    <r>
      <t>m</t>
    </r>
    <r>
      <rPr>
        <i/>
        <vertAlign val="superscript"/>
        <sz val="10"/>
        <rFont val="Times New Roman"/>
        <family val="1"/>
      </rPr>
      <t>3</t>
    </r>
  </si>
  <si>
    <t>18.1</t>
  </si>
  <si>
    <t xml:space="preserve">Oczyszczenie istniejącego przepustu drogowego "P1" w km 13+8012 pod DW nr 987.
&lt;L = 13,5m &gt; - wg rys. nr 2 Plan sytuacyjny </t>
  </si>
  <si>
    <r>
      <t xml:space="preserve">Wykonanie kanalizacji deszczowej - kolektor z rur polipropylenowych PP </t>
    </r>
    <r>
      <rPr>
        <b/>
        <sz val="10"/>
        <rFont val="Czcionka tekstu podstawowego"/>
        <family val="0"/>
      </rPr>
      <t>ø</t>
    </r>
    <r>
      <rPr>
        <b/>
        <sz val="10"/>
        <rFont val="Times New Roman"/>
        <family val="1"/>
      </rPr>
      <t>500 wraz z wykonaniem podsypki i obsypki z piasku o gr. min. 20cm</t>
    </r>
  </si>
  <si>
    <t>20.1</t>
  </si>
  <si>
    <r>
      <t xml:space="preserve">&lt;próba szczelności kanałów rurowych, kanał </t>
    </r>
    <r>
      <rPr>
        <i/>
        <sz val="10"/>
        <rFont val="Czcionka tekstu podstawowego"/>
        <family val="0"/>
      </rPr>
      <t>ø</t>
    </r>
    <r>
      <rPr>
        <i/>
        <sz val="10"/>
        <rFont val="Times New Roman"/>
        <family val="1"/>
      </rPr>
      <t>·500·mm&gt;</t>
    </r>
  </si>
  <si>
    <r>
      <t xml:space="preserve">Wykonanie studni kanalizacyjnych przelotowych betonowych </t>
    </r>
    <r>
      <rPr>
        <b/>
        <sz val="10"/>
        <rFont val="Czcionka tekstu podstawowego"/>
        <family val="0"/>
      </rPr>
      <t>ø</t>
    </r>
    <r>
      <rPr>
        <b/>
        <sz val="10"/>
        <rFont val="Times New Roman"/>
        <family val="1"/>
      </rPr>
      <t>120cm w gotowym wykopie</t>
    </r>
  </si>
  <si>
    <r>
      <t xml:space="preserve">Wykonanie studni kanalizacyjnych (S1 - S4)  przelotowych systemowych </t>
    </r>
    <r>
      <rPr>
        <sz val="10"/>
        <rFont val="Czcionka tekstu podstawowego"/>
        <family val="0"/>
      </rPr>
      <t>ø</t>
    </r>
    <r>
      <rPr>
        <sz val="10"/>
        <rFont val="Times New Roman"/>
        <family val="1"/>
      </rPr>
      <t xml:space="preserve"> 120cm w gotowym wykopie, (kompletne). 
&lt;N=4,0szt - studnie od S1 do S4 - Kanał nr 1&gt; - wg rys. nr 2 Plan Sytuacyjny i szczegółu nr  1.13</t>
    </r>
  </si>
  <si>
    <r>
      <t xml:space="preserve">Wykonanie studni kanalizacyjnej połączeniowej betonowej </t>
    </r>
    <r>
      <rPr>
        <b/>
        <sz val="10"/>
        <rFont val="Czcionka tekstu podstawowego"/>
        <family val="0"/>
      </rPr>
      <t>ø</t>
    </r>
    <r>
      <rPr>
        <b/>
        <sz val="10"/>
        <rFont val="Times New Roman"/>
        <family val="1"/>
      </rPr>
      <t>150cm w gotowym wykopie</t>
    </r>
  </si>
  <si>
    <r>
      <t xml:space="preserve">Wykonanie studzienek ściekowych </t>
    </r>
    <r>
      <rPr>
        <b/>
        <sz val="10"/>
        <rFont val="Czcionka tekstu podstawowego"/>
        <family val="0"/>
      </rPr>
      <t>ø</t>
    </r>
    <r>
      <rPr>
        <b/>
        <sz val="10"/>
        <rFont val="Times New Roman"/>
        <family val="1"/>
      </rPr>
      <t>50cm w gotowym wykopie</t>
    </r>
  </si>
  <si>
    <t>41.1</t>
  </si>
  <si>
    <t>Mechaniczne usunięcie warstwy urodzajnej (humusu) gr. w-wy 15cm  ze złożeniem na placu Wykonawcy. Humus do późniejszego wykorzystania (proj. grubość humusu 10cm) . Miejsce składowania zapewnia Wykonawca. Średnia grubość w-wy darniny 10cm. Darnina przechodzi na własność Wykonawcy.
&lt;F=105,14m2 - wg Tabeli nr 4&gt;</t>
  </si>
  <si>
    <t>Mechaniczne usunięcie warstwy urodzajnej (humusu) gr. w-wy 15cm z transportem na odkład. Transport i miejsce składowania zapewnia Wykonawca. Darnina i humus przechodzi na własność Wykonawcy
&lt;F=306,77m2 - wg Tabeli nr 5&gt;</t>
  </si>
  <si>
    <t xml:space="preserve">Wykonanie przykanalików deszczowych z rur PP Dn200, łączonych na wcisk wraz z podłożem i obsypką z materiału sypkiego (piasek) o gr. 20cm. Wykonanie próby szczelności kanałów deszczowych Dn200.
&lt;L=1,7+1,7+6,25+1,35=11,00m&gt; - wg rys. nr 2 Plan Sytuacyjny </t>
  </si>
  <si>
    <t>Wykonanie wykopów mechanicznie w gr. kat. I-V z transportem urobku w nasyp. Wykonawca zapewni miejsce składowania własnym staraniem i na własny koszt.
&lt;V=163,70m3&gt; - wg Tabeli nr 6</t>
  </si>
  <si>
    <t>Wykonanie wykopów mechanicznie w gr. kat. I-V z transportem urobku na odkład. Nadmiar gruntu (grunt nieprzydatny) przechodzi na własność Wykonawcy. Wykonawca zapewni transport i miejsce składowania własnym staraniem i na własny koszt.
&lt;V=12,05m3&gt;- wg Tabeli nr 6</t>
  </si>
  <si>
    <t>Formowanie i zagęszczanie nasypów z gruntu uzyskanego z wykopu
&lt;V=163,70m3&gt; - wg Tabeli nr 6</t>
  </si>
  <si>
    <r>
      <t xml:space="preserve">Wykonanie kanału z rur typu PP </t>
    </r>
    <r>
      <rPr>
        <sz val="10"/>
        <rFont val="Czcionka tekstu podstawowego"/>
        <family val="0"/>
      </rPr>
      <t>ø</t>
    </r>
    <r>
      <rPr>
        <sz val="10"/>
        <rFont val="Times New Roman"/>
        <family val="1"/>
      </rPr>
      <t xml:space="preserve"> 500, łączone na wcisk wraz z wykonaniem podsypki i obsypki z piasku o gr. min. 20cm
&lt;L1=44+38+44+23+10=159,0m&gt; - Kanał nr 1;
&lt;L2=37,0m&gt; - Kanał nr 2. 
&lt;Razem: L=196,0m&gt; - wg rys. nr 2 Plan sytuacyjny i nr 4 Profil podłużny</t>
    </r>
  </si>
  <si>
    <t>Wykonanie koryta pod konstrukcję poszerzenia pasa ruchu jezdni DW nr 987 i DP nr 1333R (szerokość pasa ruchu od strony chodnika 3,5m) i pod konstrukcję chodnika wraz z profilowaniem i zagęszczaniem podłoża w gr. kat. I-VI. Średnia głębokość koryta około 55cm.
&lt;F=247,85m2 - wg Tabeli nr 7&gt;</t>
  </si>
  <si>
    <t>Wykonanie warstwy z pospółki stabilizowanej mechanicznie na chodniku dla pieszych "na szlaku", na zjazdach publicznych i indywidualnych, gr. w-wy po zagęszczeniu 10cm.
&lt;F=364,73m2&gt; - wg Tabeli nr 8</t>
  </si>
  <si>
    <t>Oczyszczenie warstwy podbudowy pomocniczej z kruszywa łamanego 0/31,5mm stabilizowanego mechanicznie o gr. 25cm na poszerzeniu pasów ruchu DW i DP oraz warstwy podbudowy z kruszywa łamanego 0/31,5mm stabilizowanego mechanicznie o gr. 15cm na zjazdach publicznych.
&lt;F1=47,82m2 - zjazd ZW2 w km 13+769,0&gt;
&lt;F2=24,30m2 - zjazd ZP1 w km 0+025,5&gt;
&lt;F3=132,5m2 - poszerzenie jezdni DW i DP&gt;
&lt;Razem: F=204,62m2&gt;</t>
  </si>
  <si>
    <t>Oczyszczenie warstw konstrukcyjnych ulepszonych w postaci podbudowy zasadniczej gr. 8cm i warstwy wiążącej gr. 7cm z betonu asfaltowego AC 0/16mm na poszerzeniu pasów ruchu DW i DP oraz warstwy wiążącej gr .5cm z betonu asfaltowego 0/16mm na zjazdach publicznych.
&lt;F1=47,82m2 - zjazd ZW2 w km 13+769,0&gt;
&lt;F2=24,30m2 - zjazd ZP1 w km 0+025,5&gt;
&lt;F3=132,50m2 - poszerzenie jezdni DW i DP&gt;
&lt;Razem: F=204,62m2&gt;</t>
  </si>
  <si>
    <t xml:space="preserve">Skropienie warstwy podbudowy pomocniczej z kruszywa łamanego 0/31,5mm stabilizowanego mechanicznie o gr. 25cm na poszerzeniu pasów ruchu DW i DP oraz warstwy podbudowy z kruszywa łamanego 0/31,5mm stabilizowanego mechanicznie o gr. 15cm na zjazdach publicznych.
&lt;F1=47,82m2 - zjazd ZW2 w km 13+769,0&gt;
&lt;F2=24,30m2 - zjazd ZP1 w km 0+025,5&gt;
&lt;F3=132,50m2 - poszerzenie jezdni DW i DP&gt;
&lt;Razem: F=204,62m2&gt;
</t>
  </si>
  <si>
    <t>Skropienie warstw konstrukcyjnych ulepszonych w postaci podbudowy zasadniczej gr. 8cm i warstwy wiążącej gr. 7cm z betonu asfaltowego AC 0/16mm na poszerzeniu pasów ruchu DW i DP oraz warstwy wiążącej gr .5cm z betonu asfaltowego 0/16mm na zjazdach publicznych.
&lt;F1=47,82m2 - zjazd ZW2 w km 13+769,0&gt;
&lt;F2=24,30m2 - zjazd ZP1 w km 0+025,5&gt;
&lt;F3=132,50m2 - poszerzenie jezdni DW i DP&gt;
&lt;Razem: F=204,62m2&gt;</t>
  </si>
  <si>
    <t>Wykonanie podbudowy z kruszywa łamanego 0/31,5mm stabilizowanego mechanicznie, gr. w-wy 15 cm - chodnik na "szlaku" i na zjazdach publicznych
&lt;F1=279,65m2 - chodnik na "szlaku"&gt;;
&lt;F2=58,90m2- zjazd publiczny ZW2 i ZP1&gt; - wg rys. nr 2 Plan sytuacyjny
&lt;Razem: F=338,55m2&gt;</t>
  </si>
  <si>
    <t>Wykonanie podbudowy z kruszywa łamanego 0/31,5mm stabilizowanego mechanicznie, gr. w-wy 25 cm na poszerzeniach jezdni DW i DP.
&lt;F=160,20m2&gt; - wg rys. nr 2 Plan sytuacyjny</t>
  </si>
  <si>
    <t>Wykonanie studni kanalizacyjnej połączeniowej ø150cm (SP1) na wlocie do przepustu "P1", łączącej kanał nr 1 i kanał nr 2 w gotowym wykopie, (kompletna). 
&lt;N=1,0szt - studnia SP1 w km 0+013,60&gt;- wg rys. nr 2 Plan Sytuacyjny i rys. nr 6 Szczegóły</t>
  </si>
  <si>
    <t>Wykonanie podbudowy z kruszywa stabilizowanego cementem Rm=2,5MPa o gr. 15cm na poszerzeniach jezdni DW i DP.
&lt;F=284,94m2 &gt; - wg  rys. nr 3 Przekroje typowe i rys nr 5 Przekroje poprzeczne</t>
  </si>
  <si>
    <t>Wykonanie podbudowy z betonu o Rm=6,0-9,0MPa  z dowozem do miejsca wbudowania z pielegnacją piaskiem i wodą, gr. w-wy 15cm na chodniku na zjazdach.
&lt;F=8,04m2 - zjazd ZW1 w km 13+ 757,40 &gt; - wg rys. nr 2 Plan sytuacyjny i nr 3 Przekroje Typowe</t>
  </si>
  <si>
    <t>Wykonanie podbudowy zasadniczej z betonu asfaltowego AC 0/16 P o gr. 8 cm poszerzeniach jezdni DW i DP.
&lt;F=141,21m2&gt;  - wg rys. nr 3 Przekroje Typowe</t>
  </si>
  <si>
    <t>Wykonanie nawierzchni z tłucznia kamiennego o gr. 15cm na zjazdach indywidualnych  
&lt;F1=14,01m2- zjazd ZW0 w km 13+654,50&gt;;
&lt;F2=9,50m2 - zjazd ZW1 w km 13+757,40&gt;;
&lt;F3=18,56m2 - zjazd ZP2 w km 0+046,30&gt;.
&lt;Razem: F=42,07m2&gt;</t>
  </si>
  <si>
    <t>Wykonanie nawierzchni z betonu asfaltowego AC 16W, warstwa wiążąca,  gr. w-wy 5 cm na zjazdach publicznych.
&lt;F1=29,26m2 - zjazd ZW2 w km 13+769,0&gt;;
&lt;F2=53,55m2 - zjazd ZP1 w km 0+025,5&gt;.
&lt;Razem: F=82,81m2&gt; - wg. rys. nr 2 Plan Sytuacyjny</t>
  </si>
  <si>
    <t>Wykonanie nawierzchni z betonu asfaltowego AC 16W, warstwa wiążąca,  gr. w-wy 7 cm na poszerzeniach jezdni DW i DP.
&lt;F=151,30m2&gt; - wg. Tabeli nr 9</t>
  </si>
  <si>
    <t>Wykonanie nawierzchni z betonu asfaltowego AC 11S, warstwa ścieralna, gr. w-wy 4 cm na zjazdach publicznych.
&lt;F1=29,26m2 - zjazd ZW2 w km 13+769,0&gt;;
&lt;F2=53,55m2 - zjazd ZP1 w km 0+025,5&gt;.
&lt;Razem: F=82,81m2&gt; - wg. rys. nr 2 Plan Sytuacyjny</t>
  </si>
  <si>
    <t>Wykonanie nawierzchni z betonu asfaltowego AC 11S, warstwa ścieralna, gr. w-wy 5 cm na poszerzeniach jezdni DW i DP.
&lt;F=151,30m2&gt; - wg Tabeli nr 10</t>
  </si>
  <si>
    <t>Humusowanie z obsianiem skarp przy grubości humusu 10 cm. Humus uprzednio usunięty i zmagazynowany przez Wykonawcę.  Wykonawca pozyska  nasiona traw własnym staraniem i na własny koszt.
&lt;F=105,14m2&gt; - wg. Tabeli nr 5</t>
  </si>
  <si>
    <t>Plantowanie powierzchni (obrobienie na czysto) skarp wykonywanych ręcznie w gruncie nieskalistym.
&lt;F=105,14m2&gt;</t>
  </si>
  <si>
    <t>Umocnienie  skarp (skarpy i dno rowu przydrożnego ) kostką brukową betonową gr. 6cm na betonie C8/10 o gr. 10cm przy wlocie i wylocie "Wl1 i Wl2" kanału deszczowego Dn500. 
&lt;F=14,80m2&gt; - wg. rys. Szczegółu nr 1.7</t>
  </si>
  <si>
    <t>Ustawienie krawężników betonowych o wymiarach 20x30 cm  (odsłonięcie 4cm i 12cm) na podsypce cementowo-piaskowej 1:4 o grubości 5cm i na  ławie betonowej C12/15 gr. 15cm z oporem o V=0,082 m3/mb
&lt;L=181,25m.&gt; - wg Szczegółu nr 1.3 i 1.4</t>
  </si>
  <si>
    <t>Wykonanie chodnika "na szlaku" z kostki brukowej betonowej szarej o grubości 6cm na podsypce cementowo - piaskowej 1:4 o grubości 3cm, spoiny wypeł. piaskiem - w tym wyznaczenie opaski bezpieczeństwa 2- rzędami kostki kolorowej (np. czerwonej) na długości chodnika (50cm od lica krawężnika).
&lt;F=284,10m2 &gt; - wg rys. nr 2 Plan sytuacyjny i  rys. nr 3 Przekroje typowe</t>
  </si>
  <si>
    <t>Wykonanie chodnika na zjazdach z kostki brukowej betonowej kolorowej (np. czerwonej) o grubości 8cm na podsypce cementowo - piaskowej 1:4 o grubości 3cm, spoiny wypeł. piaskiem.
&lt;F=7,74m2&gt; - wg rys. nr 2 Plan sytuacyjny i Szczegółu 1.10</t>
  </si>
  <si>
    <t>Ustawienie obrzeży betonowych o wymiarach 30x8cm na podsypce cementowo-piaskowej 1:4 o grubości 3cm.
&lt;L1=168,56m - obrzeża betonowe na ławie betonowej C12/15, gr. 10cm o V=0,024m3/m&gt; - wg Szczegółu nr 1.1
&lt;L2=4,50m - obrzeża betonowe na ławie betonowej C12/15, gr. 10cm o V=0,059m3/m&gt; - wg Szczegółu nr 1.2
&lt;Razem: L=173,06m&gt;</t>
  </si>
  <si>
    <t>Tabela Nr 4</t>
  </si>
  <si>
    <t xml:space="preserve">TABELA ZDJĘCIA HUMUSU </t>
  </si>
  <si>
    <t>CHODNIK W CIĄGU DW NR 987</t>
  </si>
  <si>
    <t>Km</t>
  </si>
  <si>
    <t>Hm</t>
  </si>
  <si>
    <t>Odległości</t>
  </si>
  <si>
    <t>Zdjęcie humusu gr. 15 cm i darniny gr. 10 cm</t>
  </si>
  <si>
    <t>Szerokość [m]</t>
  </si>
  <si>
    <t>Szerokość średnia    
[m]</t>
  </si>
  <si>
    <t>Powierzchnia                 [m2]</t>
  </si>
  <si>
    <t>CHODNIK W CIĄGU DP NR 1333R</t>
  </si>
  <si>
    <t>RAZEM:</t>
  </si>
  <si>
    <t>ZJAZDY:</t>
  </si>
  <si>
    <t>ZW0</t>
  </si>
  <si>
    <t>ZW1</t>
  </si>
  <si>
    <t>ZW2</t>
  </si>
  <si>
    <t>ZP1</t>
  </si>
  <si>
    <t>ZP2</t>
  </si>
  <si>
    <r>
      <t>m</t>
    </r>
    <r>
      <rPr>
        <vertAlign val="superscript"/>
        <sz val="9"/>
        <rFont val="Arial CE"/>
        <family val="0"/>
      </rPr>
      <t>2</t>
    </r>
  </si>
  <si>
    <t>Tabela Nr 5</t>
  </si>
  <si>
    <t>TABELA HUMUSOWANIA</t>
  </si>
  <si>
    <t>humusowanie gr. warstwy  proj. humusu 10cm</t>
  </si>
  <si>
    <t>Objętość zdjętego humusu wg tabeli nr 4 warstwa gr. 15cm.</t>
  </si>
  <si>
    <r>
      <t>m</t>
    </r>
    <r>
      <rPr>
        <vertAlign val="superscript"/>
        <sz val="9"/>
        <rFont val="Arial CE"/>
        <family val="0"/>
      </rPr>
      <t>3</t>
    </r>
  </si>
  <si>
    <t>Powierzchnia humusu przeznacozna do usunięcia i wywiezienia na odkład przez Wykonawcę</t>
  </si>
  <si>
    <t xml:space="preserve">TABELA ROBÓT ZIEMNYCH                         </t>
  </si>
  <si>
    <t>Powierzchnia</t>
  </si>
  <si>
    <t>Średnia powierzchnia</t>
  </si>
  <si>
    <t>Odległość (m)</t>
  </si>
  <si>
    <t>Objętość</t>
  </si>
  <si>
    <t>Zyżycie na miejscu [m3]</t>
  </si>
  <si>
    <t>Nadmiar objętości</t>
  </si>
  <si>
    <t>Suma alg.</t>
  </si>
  <si>
    <t>Wykop</t>
  </si>
  <si>
    <t>Nasyp</t>
  </si>
  <si>
    <t>+</t>
  </si>
  <si>
    <t>-</t>
  </si>
  <si>
    <t>[m2]</t>
  </si>
  <si>
    <t>[m3]</t>
  </si>
  <si>
    <t>a</t>
  </si>
  <si>
    <t>b</t>
  </si>
  <si>
    <t>c</t>
  </si>
  <si>
    <t>d</t>
  </si>
  <si>
    <t>e</t>
  </si>
  <si>
    <t>f</t>
  </si>
  <si>
    <t>g</t>
  </si>
  <si>
    <t>Razem:</t>
  </si>
  <si>
    <t>Wykop
[m3]</t>
  </si>
  <si>
    <t>Nasyp
[m3]</t>
  </si>
  <si>
    <t>Bilans [m3]</t>
  </si>
  <si>
    <t>Wykonanie studni kanalizacyjnych przelotowych betonowych ø120 cm - 4,0 sztuk (wykopy i nasypy niezbedne dla wykonania kanału deszcozwego ujęto w ilościach wykazanych w tabeli robót ziemnych)</t>
  </si>
  <si>
    <t>Wykonanie studni kanalizacyjnej połączeniowej o średnicy ø150 cm w gotowym wykopie - 1,0 sztuka</t>
  </si>
  <si>
    <t>Wykonanie przykanalików deszczowych - 11mb</t>
  </si>
  <si>
    <t>Wykonanie studzienek ściekowych ø50cm - 4,0 sztuk</t>
  </si>
  <si>
    <t>WYKOPY OGÓŁEM [m3]</t>
  </si>
  <si>
    <t>NASYPY OGÓŁEM [m3]</t>
  </si>
  <si>
    <t>NADMIAR GRUNTU PRZEZNACOZNY NA ODKŁAD [m3]</t>
  </si>
  <si>
    <t>Tabela nr 7</t>
  </si>
  <si>
    <t>WYKONANIE KORYTA</t>
  </si>
  <si>
    <t>Wykonanie koryta o gł. śr. 55cm</t>
  </si>
  <si>
    <t>Tabela nr 8</t>
  </si>
  <si>
    <t>WYKONANIE WARSTWY ODCINAJĄCEJ</t>
  </si>
  <si>
    <t>Warstwa odcinająca z pospółki gr. 10cm</t>
  </si>
  <si>
    <t>Tabela nr 9</t>
  </si>
  <si>
    <t>WYKONANIE WARSTWY WIĄŻĄCEJ 
Z BETONU ASFALTOWEGO AC 16W</t>
  </si>
  <si>
    <t>Warstwa wiążaca z betonu asfaltowego gr. 7cm</t>
  </si>
  <si>
    <t>Tabela nr 10</t>
  </si>
  <si>
    <t>WYKONANIE WARSTWY ŚCIERALNEJ
Z BETONU ASFALTOWEGO AC 11S</t>
  </si>
  <si>
    <t>Warstwa ścieralna z betonu asfaltowego gr. 5cm</t>
  </si>
  <si>
    <t>Tabela nr 1. Zjazdy indywidualne/publiczne</t>
  </si>
  <si>
    <t>Oznaczenie zjazdu na mapie sytuacyjnej</t>
  </si>
  <si>
    <t>Rodzaj</t>
  </si>
  <si>
    <t>Istn. średnia dłogość w pasie drogowym 
[m]</t>
  </si>
  <si>
    <t>Istn. średnia szerokość 
[m]</t>
  </si>
  <si>
    <t>Szerokość wylotu [m]</t>
  </si>
  <si>
    <t>Rodzaj istn. nawierzchni:
A-grunt
B-grunt/kruszywo
C-kruszywo łamane
D-kruszywo naturalne
E-beton
F-kostka brukowa
G-masa bitumiczna</t>
  </si>
  <si>
    <r>
      <t>Średnica istn. przepustu [</t>
    </r>
    <r>
      <rPr>
        <sz val="10"/>
        <rFont val="Symbol"/>
        <family val="1"/>
      </rPr>
      <t xml:space="preserve">f] </t>
    </r>
    <r>
      <rPr>
        <sz val="10"/>
        <rFont val="Arial"/>
        <family val="2"/>
      </rPr>
      <t>cm</t>
    </r>
  </si>
  <si>
    <t>Dł. istn. przepustu 
[m]</t>
  </si>
  <si>
    <t>Dł. przepustu do rozbiórki
[m]</t>
  </si>
  <si>
    <t>Materiał przepustu</t>
  </si>
  <si>
    <t>Długość projektowanego przepustu [m] /przełożenie istn./rozbiórka</t>
  </si>
  <si>
    <t>Uzupełnienie kruszywem łamanym [m2]</t>
  </si>
  <si>
    <t>Powierzchnia kostki betonowej/krat ażurowych [m2]</t>
  </si>
  <si>
    <t>Powierzchnia masy bitumicznej [m2]</t>
  </si>
  <si>
    <t>Istn. krawężniki drogowe na zjazdach [m]</t>
  </si>
  <si>
    <t>Uwagi</t>
  </si>
  <si>
    <t>zjazd indywidualny</t>
  </si>
  <si>
    <t>beton</t>
  </si>
  <si>
    <t>Tabela nr 2. Roboty przygotowawcze/rozbiórkowe</t>
  </si>
  <si>
    <t>Rodzaj robót</t>
  </si>
  <si>
    <t>Jednostka</t>
  </si>
  <si>
    <t>Wymiar</t>
  </si>
  <si>
    <t>Ilość</t>
  </si>
  <si>
    <t>RAZEM [A]:</t>
  </si>
  <si>
    <t>RAZEM [B]:</t>
  </si>
  <si>
    <t>RAZEM [C]:</t>
  </si>
  <si>
    <t>RAZEM [D]:</t>
  </si>
  <si>
    <t>RAZEM [E]:</t>
  </si>
  <si>
    <t>RAZEM [F]:</t>
  </si>
  <si>
    <t>RAZEM [G]:</t>
  </si>
  <si>
    <t>RAZEM [H]:</t>
  </si>
  <si>
    <t>RAZEM [I]:</t>
  </si>
  <si>
    <t>Tabela Nr 6</t>
  </si>
  <si>
    <t>Koszt dostosowania się do pozostałych wymagań Warunków Kontraktu,Wymagań Ogólnych zawartych w Specyfikacji Technicznej Wykonania i Odbioru Robót Budowlanych DM.00.00.00 oraz szczegółowych STWiORB. Koszty spełnienia wymagań zarządców/właścicieli istniejących sieci zgodnie z załaczonymi do dokumentacji technicznej uzgodnieniami.</t>
  </si>
  <si>
    <t>ryczałt</t>
  </si>
  <si>
    <t>PRZEBUDOWA DROGI WOJEWÓDZKIEJ NR 987 KOLBUSZOWA – SĘDZISZÓW MAŁOPOLSKI POLEGAJĄCA NA BUDOWIE CHODNIKA DLA PIESZYCH W KM 13+788 ÷ 13+940 STRONA LEWA W MIEJSCOWOŚCI CZARNA SĘDZISZOWSKA</t>
  </si>
  <si>
    <t>Wykonanie  powykonawczej dokumentacji odbiorowej (operat kolaudacyjny 2 egz. ) wraz z wersją elektroniczną w zapisie pdf</t>
  </si>
  <si>
    <t>Wykonanie  powykonawczej dokumentacji odbiorowej (operat kolaudacyjny 2 egz.) wraz z wersją elektroniczną w zapisie pdf</t>
  </si>
  <si>
    <t xml:space="preserve">Doprowadzenie terenu do stanu pierwotnego oraz wykonanie docelowej organizacji ruchu (oznakowanie pionowe i poziome) zgodnie z wymaganymi standardami </t>
  </si>
  <si>
    <t>BUDOWA CHODNIKA DLA PIESZYCH  W CIĄGU DW I DP (ROBOTY DROGOWE)</t>
  </si>
  <si>
    <t>Odcinek DW od km 13+771,0 do km 13+946,0 oraz DP od km 0+000,0 do km 0+065,0 wraz z wytyczeniem wszystkich punktów projektowanego chodnika, elementów odwodnienia (kanalizacji deszczowej i istn. przepustów) oraz istniejących sieci uzbrojenia terenu, itd. - kompletna obsługa geodezyjna
&lt;L1=0,18km&gt; - w ciągu DW
&lt;L2=0,065km&gt; w ciągu DP
&lt;Razem: L=0,24km&gt;</t>
  </si>
  <si>
    <t>Wykonanie przedłużenia istniejącego przepustu drogowego "P1" w km 13+942,4 poprzez ułożenie rur jednootworowych, żelbetowych o śr. wew. 60cm wraz z podłączeniem do studni "SP1", izolacja R+2P.
&lt;L= 2,0m - istn. przepust P1 od strony wlotu (studnia SP1)&gt; - wg rys. nr 2 Plan sytuacyjny  i Tabeli nr 3 - w ciągu DP</t>
  </si>
  <si>
    <t>Wykonanie nawierzchni z tłucznia kamiennego o gr. 15cm na zjazdach indywidualnych  
&lt;F1=14,01m2- zjazd ZW0 w km 13+786,0&gt; - w ciągu DW
&lt;F2=9,50m2 - zjazd ZW1 w km 13+889,0&gt; - w ciągu DW
&lt;F3=18,56m2 - zjazd ZP2 w km 0+046,30&gt; - w ciągu DP
&lt;Razem: F=42,07m2&gt;</t>
  </si>
  <si>
    <t>05.03.11</t>
  </si>
  <si>
    <t>Recykling /remixing/</t>
  </si>
  <si>
    <t>05.03.11.35</t>
  </si>
  <si>
    <t xml:space="preserve">Wykonanie frezowania nawierzchni asfaltowych na zimno: śr. gr. w-wy ponad 6 cm </t>
  </si>
  <si>
    <t>05.03.26</t>
  </si>
  <si>
    <t>Zabezpieczenie geosiatką nawierzchni asfaltowej przed spękaniami odbitymi</t>
  </si>
  <si>
    <t>05.03.26A</t>
  </si>
  <si>
    <t>Wykonanie warstwy z geosiatki w celu zabezpieczenia nawierzchni asfaltowej przed spękaniami odbitymi</t>
  </si>
  <si>
    <t>Ustawienie ogrodzeń segmentowych (balustrad szczeblinkowych)  na fundamencie betonowym.
&lt;L1=7,00m&gt; - w ciągu DP
&lt;L2=29,00m&gt;  - w ciągu DW
&lt;Razem: L=36,00m&gt;  - wg rys. Szczegółu nr 1.8 i rys. nr 2 Plan sytuacyjny</t>
  </si>
  <si>
    <t>ZBIORCZE ZESTAWIENIE KOSZTÓW ROBÓT Z PODZIAŁEM NA DROGI</t>
  </si>
  <si>
    <t>BUDOWA CHODNIKA DLA PIESZYCH W CIĄGU DROGI WOJEWÓDZKIEJ NR 987</t>
  </si>
  <si>
    <t>RAZEM NETTO [I]</t>
  </si>
  <si>
    <t>RAZEM BRUTTO [I]</t>
  </si>
  <si>
    <t>RAZEM NETTO [II]</t>
  </si>
  <si>
    <t>RAZEM BRUTTO [II]</t>
  </si>
  <si>
    <t>BUDOWA CHODNIKA DLA PIESZYCH W CIĄGU DROGI POWIATOWEJ NR 1333R</t>
  </si>
  <si>
    <t>RAZEM NETTO [III]</t>
  </si>
  <si>
    <t>RAZEM BRUTTO [III]</t>
  </si>
  <si>
    <t xml:space="preserve">WARTOŚĆ KOSZTORYSOWA ROBÓT NETTO [I+II+III] </t>
  </si>
  <si>
    <t>10.</t>
  </si>
  <si>
    <t>11.</t>
  </si>
  <si>
    <t>13.</t>
  </si>
  <si>
    <t>14.</t>
  </si>
  <si>
    <t>15.</t>
  </si>
  <si>
    <t>16.</t>
  </si>
  <si>
    <t>17.</t>
  </si>
  <si>
    <t>OGÓŁEM DW:</t>
  </si>
  <si>
    <t>OGÓŁEM DP:</t>
  </si>
  <si>
    <t>Humus do ponownego wykorzystnia na miejscu  warstwa gr. 10 cm w ciągu DP.</t>
  </si>
  <si>
    <t>Wykorzystanie humusu na miejscu wg. tabeli nr 5 warstwa gr. 10 cm - DP</t>
  </si>
  <si>
    <t>Wykorzystanie humusu na miejscu wg. tabeli nr 5 warstwa gr. 10 cm - DW</t>
  </si>
  <si>
    <t>Humus do ponownego wykorzystnia na miejscu  warstwa gr. 10 cm w ciagu DW.</t>
  </si>
  <si>
    <t>Powierzchnia humusu do zdjęcia i wywiezienia na odkład warstwa gr. 15 cm - DW</t>
  </si>
  <si>
    <t>Powierzchnia humusu do zdjęcia i wywiezienia na odkład warstwa gr. 15 cm - DP</t>
  </si>
  <si>
    <t xml:space="preserve">Roboty ziemne związane z wykonaniem kanału deszczowego i studzieniek ściekowych w ciągu DW </t>
  </si>
  <si>
    <t>BILANS MAS ZIEMNYCH W CIĄGU DW NR 987</t>
  </si>
  <si>
    <t>BILANS MAS ZIEMNYCH W CIĄGU DP NR 1333R</t>
  </si>
  <si>
    <t>Wykonanie nawierzchni z betonu asfaltowego AC 16W, warstwa wiążąca,  gr. w-wy 7 cm na poszerzeniach jezdni DW i DP.
&lt;F1 = 226,45m2&gt; - w ciągu DW
&lt;F2 = 31,49m2&gt; - w ciągu DP
&lt;Razem: F=257,94m2&gt; - wg. Tabeli nr 9</t>
  </si>
  <si>
    <t>Umocnienie  skarp (skarpy i dno rowu przydrożnego ) kostką brukową betonową gr. 6cm na betonie C8/10 o gr. 10cm przy wlocie i wylocie "Wl1 i Wl2" kanału deszczowego Dn500. 
&lt;F1=7,4m2&gt;  - w ciągu DW
&lt;F2=7,4m2&gt;  - w ciągu DP
&lt;Razem: F=14,80m2&gt; - wg. rys. Szczegółu nr 1.7</t>
  </si>
  <si>
    <t>Ilośći DP</t>
  </si>
  <si>
    <t>Warość DP</t>
  </si>
  <si>
    <t>jeżeli "naście"</t>
  </si>
  <si>
    <t>0-5</t>
  </si>
  <si>
    <t>6-9</t>
  </si>
  <si>
    <t>dodatek</t>
  </si>
  <si>
    <t>sumuj te ciągi</t>
  </si>
  <si>
    <t>KOSZTORYS OFEROWY</t>
  </si>
  <si>
    <t>mgr inż.Tomasz Mroczek
mgr inż. Roman Charchut</t>
  </si>
  <si>
    <t>ZI1</t>
  </si>
  <si>
    <t>X</t>
  </si>
  <si>
    <t>DANE OGÓLNE</t>
  </si>
  <si>
    <t>Nawierzchnia z betonowej kostki brukowej wibroprasowanej gr.8cm kolor czerwony 
[m2]</t>
  </si>
  <si>
    <t>NAWIERZCHNIA 
(W-WA ŚCIERALNA)</t>
  </si>
  <si>
    <t>W-wa odcinająca z piasku o gr. 10cm
[m2]</t>
  </si>
  <si>
    <t>W-wa podbudowy z kruszywa naturalnego stabil. cementem o gr. 15cm i o Rm=1,5 Mpa
[m2]</t>
  </si>
  <si>
    <t>W-wa podbudowy z kruszywa naturalnego stabil. cementem o  gr. 20cm i o Rm=2,5 Mpa
[m2]</t>
  </si>
  <si>
    <t>POBOCZA</t>
  </si>
  <si>
    <t>Rozbiórka konstrukcji zjazdu</t>
  </si>
  <si>
    <t>ZI2</t>
  </si>
  <si>
    <t>ZI3</t>
  </si>
  <si>
    <t>ZI4</t>
  </si>
  <si>
    <t xml:space="preserve">Rozbiórka istn. nawierzchni 
[m2] </t>
  </si>
  <si>
    <t>Rozbiórka ścian przepustów
[m3]</t>
  </si>
  <si>
    <t>Rozbiórka konstrukcji zjazdu i przepustu betonowego wraz z ścianami czołowymi</t>
  </si>
  <si>
    <t>ZI5</t>
  </si>
  <si>
    <t>ZI6</t>
  </si>
  <si>
    <t xml:space="preserve">Rozbiórka konstrukcji zjazdu i przepustu betonowego </t>
  </si>
  <si>
    <t>ZI7</t>
  </si>
  <si>
    <t xml:space="preserve">Rozbiórka konstrukcji zjazdu i żelbetowych płyt drogowych </t>
  </si>
  <si>
    <t>ZI8</t>
  </si>
  <si>
    <t>ZI9</t>
  </si>
  <si>
    <t>Odcinek</t>
  </si>
  <si>
    <t>od km 0+000 do km 0+205</t>
  </si>
  <si>
    <t>ZI10</t>
  </si>
  <si>
    <t>ZI11</t>
  </si>
  <si>
    <t>Rozbiórka elementów przestrzennych tj. płyty betonowe, podkłady kolejowe, krawężniki itd. 
[m3]</t>
  </si>
  <si>
    <t>Nawierzchnia z betonowej kostki brukowej - materiał z uprzedniej rozbiórki
[m2]</t>
  </si>
  <si>
    <t>Rozbiórka zjazdu z kostki brukowej, demontaż krawężników i przełożenie w cześci istn. nawierzchni</t>
  </si>
  <si>
    <t>ZI12</t>
  </si>
  <si>
    <t>ZI13</t>
  </si>
  <si>
    <t>ZI14</t>
  </si>
  <si>
    <t>od km 0+205 do km  0+257,4</t>
  </si>
  <si>
    <t>ZI15</t>
  </si>
  <si>
    <t xml:space="preserve">Rozbiórka konstrukcji zjazdu </t>
  </si>
  <si>
    <t>ZI16</t>
  </si>
  <si>
    <t>ZI17</t>
  </si>
  <si>
    <t xml:space="preserve">Rozbiórka konstrukcji zjazdu  i przepustu betonowego </t>
  </si>
  <si>
    <t>ZI18</t>
  </si>
  <si>
    <t>ZI19</t>
  </si>
  <si>
    <t>Wykonanie nawierzchni bitumicznej na zjeździe</t>
  </si>
  <si>
    <t>od km 0+257,4 do km 0+452</t>
  </si>
  <si>
    <t>RAZEM</t>
  </si>
  <si>
    <t>ROZBIÓRKI</t>
  </si>
  <si>
    <t>INNE</t>
  </si>
  <si>
    <t>ODZYSK</t>
  </si>
  <si>
    <t>Wykonanie wyznaczenia granic pasa drogowego (I.P.D.) w terenie wraz z wyniesieniem i zastabilizowaniem słupkami PD</t>
  </si>
  <si>
    <t>Koszt dostosowania się do pozostałych wymagań Warunków Kontraktu,Wymagań Ogólnych zawartych w Specyfikacji Technicznej Wykonania i Odbioru Robót Budowlanych DM.00.00.00 oraz szczegółowych STWiORB. Koszty spełnienia wymagań zarządców/właścicieli istniejących sieci zgodnie z załączonymi do dokumentacji technicznej uzgodnieniami, decyzjami i warunkami technicznymi.</t>
  </si>
  <si>
    <t>01.02.01</t>
  </si>
  <si>
    <t xml:space="preserve">Usunięcie drzew lub krzaków </t>
  </si>
  <si>
    <t>Karczowanie drzew o średnicy 10-35cm</t>
  </si>
  <si>
    <t>01.02.01.11</t>
  </si>
  <si>
    <t>01.02.01.22</t>
  </si>
  <si>
    <t>Karczowanie krzaków i poszycia</t>
  </si>
  <si>
    <t>Karczowanie drzew o średnicy 10-35cm wraz z usunieciem (zniszczeniem) karpiny, wywozem gałęzi i dłużyc oraz zasypaniem dołów. Dłużyce i gałęzie pozostają własnością Zamawiającego, należy je przewieźć na miejsce wskazane przez Zamawiajacego.
&lt;N=6,0szt.&gt;</t>
  </si>
  <si>
    <t>Karczowanie krzaków (samosiewy)  i krzewów ozdobnych wraz z usunięciem (zniszczeniem) karpiny, drągowiny i gałęzi. Materiał z karczowania stanowi własnośc Wykonawcy robót.
&lt;F=12,0m2&gt;</t>
  </si>
  <si>
    <r>
      <t>m</t>
    </r>
    <r>
      <rPr>
        <b/>
        <vertAlign val="superscript"/>
        <sz val="10"/>
        <color indexed="10"/>
        <rFont val="Times New Roman"/>
        <family val="1"/>
      </rPr>
      <t>2</t>
    </r>
  </si>
  <si>
    <t>Mechaniczne usunięcie warstwy ziemi urodzajnej (humusu) o średniej gr. w-wy 25 cm z darniną do późniejszego wykorzystania</t>
  </si>
  <si>
    <t>01.02.02.13</t>
  </si>
  <si>
    <t>Mechaniczne usunięcie warstwy urodzajnej (humusu) gr. w-wy 25cm  ze złożeniem na placu Wykonawcy. Humus do późniejszego wykorzystania (proj. grubość humusu 10cm) . Miejsce składowania zapewnia Wykonawca. Średnia grubość w-wy darniny 10cm. Darnina przechodzi na własność Wykonawcy.
&lt;F= 1400,00m2&gt; - wg Tabeli nr ..........&gt;</t>
  </si>
  <si>
    <r>
      <t>m</t>
    </r>
    <r>
      <rPr>
        <vertAlign val="superscript"/>
        <sz val="10"/>
        <color indexed="10"/>
        <rFont val="Times New Roman"/>
        <family val="1"/>
      </rPr>
      <t>2</t>
    </r>
  </si>
  <si>
    <t>Mechaniczne usunięcie warstwy ziemi urodzajnej (humusu) o średniej gr. w-wy 25 cm z darniną z transportem na odkład</t>
  </si>
  <si>
    <t>Mechaniczne usunięcie warstwy urodzajnej (humusu) gr. w-wy 25cm z transportem na odkład. Transport i miejsce składowania zapewnia Wykonawca. Darnina i humus przechodzi na własność Wykonawcy
&lt;F=............m2 - wg Tabeli nr ........&gt;</t>
  </si>
  <si>
    <t>Rozebranie podbudowy z kruszywa, gr. w-wy około 25 cm</t>
  </si>
  <si>
    <t>BUDOWA CHODNIKA DLA PIESZYCH  W CIĄGU DP (ROBOTY DROGOWE)</t>
  </si>
  <si>
    <t>Rozebranie podbudowy z kruszywa o gr. w-wy około 25cm na zjazdach indywidualnych  oraz podsypki (fundamentów) pod przepustami na zjazdach.
&lt;F1=39,6+18,0+40,0+38,25=135,85m2&gt;- zjazdy 
&lt;F2=31,56m2&gt; - przepusty
&lt;Razem: F=167,41m2&gt; - wg Tabeli nr 1</t>
  </si>
  <si>
    <t>Materiał z rozbiórki przechodzi na własność Zamawiającego.Transport materiału przez Wykonawcę na plac składowania wskazany przez Zamawiajacego.
&lt;V=167,41m2 x0,25m =41,85m3&gt;</t>
  </si>
  <si>
    <r>
      <t>m</t>
    </r>
    <r>
      <rPr>
        <vertAlign val="superscript"/>
        <sz val="10"/>
        <color indexed="10"/>
        <rFont val="Times New Roman"/>
        <family val="1"/>
      </rPr>
      <t>3</t>
    </r>
  </si>
  <si>
    <t>Rozebranie nawierzchni z kruszywa, gr. w-wy około 15 cm</t>
  </si>
  <si>
    <t>Rozebranie nawierzchni zjazdów z kruszywa, śr. gr. w-wy około 15cm. 
&lt;F=191,95m2&gt; - kruszyw  naturalne i mieszanka grunt/kruszywo - wg Tabeli nr 1</t>
  </si>
  <si>
    <t>Materiał z rozbiórki przechodzi na własność Wykonawcy. Transport materiału przez Wykonawcę na plac składowania.
&lt;V=191,95m2 x0,15m =28,79m3&gt;</t>
  </si>
  <si>
    <t>Rozebranie nawierzchni z mieszanek mineralno - bitumicznych, gr. w-wy około 5cm</t>
  </si>
  <si>
    <t>Rozebranie nawierzchni (w-wa ścieralna ) z mieszanek mineralno - bitumicznych gr. w-wy około 5cm na zjazdach..
&lt;F=38,25m2 &gt; - wg Tabeli nr 1</t>
  </si>
  <si>
    <t>Materiał z rozbiórki przechodzi na własność Wykonawcy.Transport materiału przez Wykonawcę na plac składowania.
&lt;V=38,25m2 x0,05m =1,91m3&gt;</t>
  </si>
  <si>
    <t xml:space="preserve">Rozebranie nawierzchni z kostki brukowej </t>
  </si>
  <si>
    <t>Rozebranie nawierzchni z kostki betonowej brukowej o gr. 6cm na podsypce cementowo-piaskowej o gr. 3cm na zjazdach. Materiał w części do ponownego wbudowania (odtworzenie).
&lt;F=79,6m2&gt; - wg Tabeli nr 1</t>
  </si>
  <si>
    <t>Materiał z rozbiórki stanowi własność Zamawiającego. Transport materiału przez Wykonawcę na plac składowania wskazany przez Zamawiajacego.
&lt;V=79,6m2x0,06m =4,78m3&gt;</t>
  </si>
  <si>
    <t>01.02.04.23</t>
  </si>
  <si>
    <t xml:space="preserve">Rozebranie nawierzchni z betonu </t>
  </si>
  <si>
    <t>Rozebranie nawierzchni z betonu o gr. około 10cm na podsypce cementowo-piaskowej o gr. 3cm na zjazdach. 
&lt;F=18,0m2&gt; - wg Tabeli nr 1</t>
  </si>
  <si>
    <t>Materiał z rozbiórki stanowi własność Wykonawcy. Transport materiału przez Wykonawcę na plac składowania.
&lt;V=18,0m2x0,1m =1,80m3&gt;</t>
  </si>
  <si>
    <t>01.02.04.41</t>
  </si>
  <si>
    <t xml:space="preserve">Rozebranie krawężników betonowych na ławie betonowej </t>
  </si>
  <si>
    <t>Rozebranie na zjazdach krawężników betonowych o wym.15x30cm ułożonych na płasko na podsypce cementowo-piaskowej i ławie fundamentowej.
&lt;L=10,0m&gt; - wg Tabeli nr 1</t>
  </si>
  <si>
    <t>Materiał z rozbiórki przechodzi na własność Zamawiającego.Transport materiału przez Wykonawcę na plac składowania wskazany przez Zamawiajacego.
&lt;V=0,45m3&gt;</t>
  </si>
  <si>
    <t>Rozebranie przepustów pod zjazdami z rur betonowych o śr. ø40cm</t>
  </si>
  <si>
    <r>
      <t xml:space="preserve">Rozebranie przepustów pod zjazdami z rur betonowych o średnicy </t>
    </r>
    <r>
      <rPr>
        <sz val="10"/>
        <color indexed="10"/>
        <rFont val="Czcionka tekstu podstawowego"/>
        <family val="0"/>
      </rPr>
      <t>ø</t>
    </r>
    <r>
      <rPr>
        <sz val="10"/>
        <color indexed="10"/>
        <rFont val="Times New Roman"/>
        <family val="1"/>
      </rPr>
      <t>40cm wraz z zasypką .
&lt;L=78,9m &gt;- wg Tabeli nr 1</t>
    </r>
  </si>
  <si>
    <t>12.1</t>
  </si>
  <si>
    <t>Materiał z rozbiórki stanowi własność Zamawiającego.Transport materiału przez Wykonawcę na plac składowania wskazany przez Zamawiającego.
&lt;V=5,57m3&gt;</t>
  </si>
  <si>
    <t>Rozebranie przepustów z rur żelbetonowych o śr. ø60cm</t>
  </si>
  <si>
    <t>Rozebranie części przepustu pod koroną drogi powiatowej w km 0+163,5 (P1) wraz z zasypką i ławą (podsypką).
&lt;L=1,0m - przepust o ø60cm&gt;  - wg Tabeli nr 1 i 3</t>
  </si>
  <si>
    <t>13.1</t>
  </si>
  <si>
    <t>Materiał z rozbiórki stanowi własność Zamawiającego.Transport materiału przez Wykonawcę na plac składowania wskazany przez Zamawiającego.
&lt;V=0,10m3&gt;</t>
  </si>
  <si>
    <t>Rozebranie słupka stalowego rurowego do znaku drogowego A-6B (materiał do ponownego wykorzystania).
&lt;N=1,0szt.&gt; - wg Tabeli nr 2</t>
  </si>
  <si>
    <t>Zdjęcie tabliy znaku A-6B (materiał do ponownego wykorzystania).
&lt;N=1,0szt.&gt;- wg Tabeli nr 2</t>
  </si>
  <si>
    <r>
      <t>m</t>
    </r>
    <r>
      <rPr>
        <b/>
        <vertAlign val="superscript"/>
        <sz val="10"/>
        <color indexed="10"/>
        <rFont val="Times New Roman"/>
        <family val="1"/>
      </rPr>
      <t>3</t>
    </r>
  </si>
  <si>
    <t>Rozebranie ścianek czołowych przepustów pod zjazdami. Materiał z rozbiórki stanowi własność Wykonawcy. Transport materiału przez Wykonawcę na plac składowania. 
&lt;V= 6,64m3&gt;- wg Tabeli nr 1</t>
  </si>
  <si>
    <t>Wykonanie wykopów mechanicznie w gr. kat. I-V z transportem urobku w nasyp. Wykonawca zapewni miejsce składowania własnym staraniem i na własny koszt.
&lt;V=............m3&gt; - wg Tabeli nr ..........</t>
  </si>
  <si>
    <t>Wykonanie wykopów mechanicznie w gr. kat. I-V z transportem urobku na odkład. Nadmiar gruntu (grunt nieprzydatny) przechodzi na własność Wykonawcy. Wykonawca zapewni transport i miejsce składowania własnym staraniem i na własny koszt.
&lt;V=m3&gt;- wg Tabeli nr..............</t>
  </si>
  <si>
    <t>Formowanie i zagęszczanie nasypów z gruntu uzyskanego z wykopu;
&lt;V=..............m3&gt; - wg Tabeli nr ..........</t>
  </si>
  <si>
    <t xml:space="preserve">Wykonanie nasypów mechanicznie z gruntu kat. I-VI z pozyskaniem
 i transportem gruntu </t>
  </si>
  <si>
    <t>Formowanie i zagęszczanie nasypów z gruntu dostarczonego. Wykonawca pozyska grunt własnym staraniem i na własny koszt.
&lt;V=..............m3&gt; - wg Tabeli nr ..........</t>
  </si>
  <si>
    <r>
      <t>m</t>
    </r>
    <r>
      <rPr>
        <i/>
        <vertAlign val="superscript"/>
        <sz val="10"/>
        <color indexed="10"/>
        <rFont val="Times New Roman"/>
        <family val="1"/>
      </rPr>
      <t>3</t>
    </r>
  </si>
  <si>
    <t>Czyszczenie przepustów z namułu o średnicy wew. 60cm</t>
  </si>
  <si>
    <t>Oczyszczenie istniejącego przepustu drogowego "P1" w km 0+163,5 pod DP.
&lt;L = 9,5m &gt; - wg rys. nr 2 Plan sytuacyjny</t>
  </si>
  <si>
    <t>Kanalizacja deszczowa (rowy kryte)</t>
  </si>
  <si>
    <t>03.02.01.28</t>
  </si>
  <si>
    <t>22.1</t>
  </si>
  <si>
    <t xml:space="preserve">Wykonanie przykanalików deszczowych z rur PP Dn200, łączonych na wcisk wraz z podłożem i obsypką z materiału sypkiego (piasek) o gr. 20cm. Wykonanie próby szczelności kanałów deszczowych Dn200.
&lt;L1=3,5+7+2,5+8,0 = 21,0m&gt; - w ciagu Kanału nr 1
&lt;L2=3+3+3+3,5=12,5m&gt; -  w ciągu Kanału nr 2A i W10
&lt;Razem: L=33,50m&gt; - wg rys. nr 2 Plan Sytuacyjny </t>
  </si>
  <si>
    <t>03.02.01.31</t>
  </si>
  <si>
    <t>Studzienki rewizyjne z gotowych elementów z tworzyw sztucznych HDPE o średnicy 800 mm z włazem szt. 1,0 w gotowym wykopie wraz z zasypaniem i podłączeniem przykanalików - studnie kompletne.
&lt;N1=2,0szt - studnia: SP1, S2 - Kanał nr 1&gt; - wg rys. nr 2 Plan Sytuacyjny
&lt;N2=4,0szt. - studnia: S12-S14 i SP15 - Kanał nr 2A&gt; - wg rys. nr 2 Plan Sytuacyjny
&lt;Razem: N=6,0szt.&gt;</t>
  </si>
  <si>
    <t>03.02.01.33</t>
  </si>
  <si>
    <t>Wykonanie studni kanalizacyjnej połączeniowej ø200cm (SP3) z kręgów żelbetowych z włazem żeliwnym i schodkami, na ławie z betonu C35/45 gr. 30cm. Studnia na wylocie przepustu "P1" w km 0+163,5 w gotowym wykopie z zasypaniem i podłączeniem kanałów - (studnia kompletna). 
&lt;N=1,0szt - studnia SP3 w km 0+163,5&gt;- wg rys. nr 2 Plan Sytuacyjny</t>
  </si>
  <si>
    <t>Wykonanie studzienek ściekowych ulicznych z tworzyw sztucznych PE o średnicy 415 mm, bezosadnikowa z kratą żeliwną (kraty ściekowe krawężnikowo - jezdniowe), na ławie z betonu C 12/15, gr. 20 cm, wraz z wykonaniem wykopu i zasypaniem - studnie kompletne.
&lt;N1=4,0szt - Kanał nr 1&gt; - wg rys. nr 2 Plan Sytuacyjny
&lt;N2=4,0szt. - Kanał nr 2A i SP15&gt; - wg rys. nr 2 Plan Sytuacyjny
&lt;Razem: N=8,0szt.&gt;</t>
  </si>
  <si>
    <t>do sprawdzenia</t>
  </si>
  <si>
    <t>Wykonanie warstwy odcinającej z piasku, gr. w-wy po zagęszczeniu 10cm</t>
  </si>
  <si>
    <t>do spraw</t>
  </si>
  <si>
    <t>Oczyszcznie  warstw konstrukcyjnych nieulepszonych mechanicznie</t>
  </si>
  <si>
    <t>04.03.01.12</t>
  </si>
  <si>
    <t>Oczyszczenie warstwy podbudowy z kruszywa łamanego 0/63mm stabilizowanego mechanicznie o gr. 20cm na poszerzeniu pasa ruchu DP oraz warstwy podbudowy z kruszywa naturalnego stabilizowanego cementem o gr.20cm na zjazdach poza chodnikiem.
&lt;F1=114+89,2=203,20m2&gt; - poszerzenie pasa ruchu DP
&lt;F2=135,91+85,51 = 221,42m2&gt;  - zjazdy poza chodnikiem
&lt;Razem: F=424,62m2&gt;</t>
  </si>
  <si>
    <t>Oczyszcznie  warstw konstrukcyjnych ulepszonych mechanicznie</t>
  </si>
  <si>
    <t>Oczyszczenie warstwy konstrukcyjnej ulepszonej w postaci  warstwy wiążącej gr. 6cm z betonu asfaltowego AC 0/16mm na poszerzeniu pasa ruchu  DP.
&lt;F=114,0+89,2=203,20m2&gt; - poszerzenie pasa ruchu DP</t>
  </si>
  <si>
    <t>Skropienie warstwy podbudowy z kruszywa łamanego 0/63mm stabilizowanego mechanicznie o gr. 20cm na poszerzeniu pasa ruchu DP oraz warstwy podbudowy z kruszywa naturalnego stabilizowanego cementem o gr.20cm na zjazdach poza chodnikiem.
&lt;F1=114+89,2=203,20m2&gt; - poszerzenie pasa ruchu DP
&lt;F2=135,91+85,51 = 221,42m2&gt;  - zjazdy poza chodnikiem
&lt;Razem: F=424,62m2&gt;</t>
  </si>
  <si>
    <t>Skropienie warstwy konstrukcyjnej ulepszonej w postaci  warstwy wiążącej gr. 6cm z betonu asfaltowego AC 0/16mm na poszerzeniu pasa ruchu  DP.
&lt;F=114,0+89,2=203,20m2&gt; - poszerzenie pasa ruchu DP</t>
  </si>
  <si>
    <t>04.04.02.24</t>
  </si>
  <si>
    <t>Wykonanie podbudowy z kruszywa łamanego 0/63mm stabilizowanego mechanicznie, gr. w-wy 20cm</t>
  </si>
  <si>
    <t>Wykonanie podbudowy z kruszywa łamanego 0/63mm stabilizowanego mechanicznie, gr. w-wy20cm na poszerzeniu pasa ruchu DP
&lt;F=114+89,2=203,20m2&gt;  - wg rys. nr 2 Plan sytuacyjny</t>
  </si>
  <si>
    <t>Podbudowy z kruszywa stabilizowanego cementem</t>
  </si>
  <si>
    <t>Wykonanie podbudowy z kruszywa naturalnego stabilizowanego cementem, gr. w-wy 15cm, Rm=1,5Mpa</t>
  </si>
  <si>
    <t>04.04.02.11</t>
  </si>
  <si>
    <t>Wykonanie podbudowy z kruszywa łamanego 0/63mm stabilizowanego mechanicznie, gr. w-wy 15cm</t>
  </si>
  <si>
    <t>04.05.01.42</t>
  </si>
  <si>
    <t>Wykonanie podbudowy z kruszywa naturalnego stabilizowanego cementem, gr. w-wy 20cm, Rm=2,5Mpa</t>
  </si>
  <si>
    <t>Wykonanie podbudowy z kruszywa naturalnego stabilizowanego cementem Rm=2,5MPa, o gr. w-wy 20cm na jazdach poza chodnikiem i na poszerzeniu pasa ruchu DP.
&lt;F1 = 135,91+85,51=221,42m2&gt; - zjazdy - wg tabeli nr 1
&lt;F2 = (114+89,2)*1,32=268,22m2&gt; - poszerzenie pasa ruchu DP
&lt;Razem: F=489,64m2 &gt;</t>
  </si>
  <si>
    <t>Wykonanie nawierzchni z betonu asfaltowego AC warstwa wiążąca,  gr. w-wy 6 cm</t>
  </si>
  <si>
    <t>Wykonanie nawierzchni z betonu asfaltowego AC 16W, warstwa wiążąca,  gr. w-wy 6 cm na  poszerzeniu pasu ruchu DP.
&lt;F=114+89,2=203,2m2&gt; - wg. rys. nr 2 Plan Sytuacyjny</t>
  </si>
  <si>
    <t>do spraw bo frezowanie</t>
  </si>
  <si>
    <t>Wykonanie nawierzchni z betonu asfaltowego AC 11S, warstwa ścieralna, gr. w-wy 5 cm na zjazdach poza chodnikiem.
&lt;F = 121,4+76,35 = 197,75m2&gt; - wg Tabeli nr 1</t>
  </si>
  <si>
    <t>Humusowanie z obsianiem skarp przy grubości humusu 10 cm. Humus uprzednio usunięty i zmagazynowany przez Wykonawcę.  Wykonawca pozyska  nasiona traw własnym staraniem i na własny koszt.
&lt;F=..................m2&gt; - wg. Tabeli nr ...................</t>
  </si>
  <si>
    <t>Plantowanie powierzchni (obrobienie na czysto) skarp wykonywanych ręcznie w gruncie nieskalistym.
&lt;F=.....m2&gt; - w ciągu DP</t>
  </si>
  <si>
    <t xml:space="preserve">Wykonanie poboczy </t>
  </si>
  <si>
    <t>06.03.02</t>
  </si>
  <si>
    <t>Wykonanie poboczy gruntowych o szer. 0,5m
[m2]</t>
  </si>
  <si>
    <t>Wykonanie poboczy gruntowych na zjazdach</t>
  </si>
  <si>
    <t>Wykonanie poboczy gruntowych na zjazdach poza chodnikiem. Szerokość min. poboczy 0,5m.
&lt;F==25,9+19,5=45,40m2&gt; - wg Tabeli nr 1</t>
  </si>
  <si>
    <t>08.01.01.21</t>
  </si>
  <si>
    <t>Ustawienie krawężników betonowych o wymiarach 15x30cm na ławie betonowej z oporem</t>
  </si>
  <si>
    <t>ROZBUDOWA DROGI POWIATOWEJ NR 1358R UL. KS. STEFANA WYSZYŃSKIEGO W MIEJSCOWOŚCI ROPCZYCE  W ZWIĄZKU Z BUDOWĄ CHODNIKA DLA PIESZYCHI OD KM 0+205,0 DO KM 0+257,4 WRAZ Z KANALIZACJĄ DESZCZOWĄ ORAZ PRZEBUDOWĄ SIECI UZBROJENIA TERENU</t>
  </si>
  <si>
    <t>Wykonanie wyznaczenia granic pasa drogowego (I.P.D.  i P.P.D.) w terenie wraz z wyniesieniem i zastabilizowaniem słupkami PD.</t>
  </si>
  <si>
    <t>Odcinek DP od km (lok) 0+000,0 do km 0+205,0 oraz od km 0+257,0 do km 0+452,0 wraz z wytyczeniem wszystkich punktów projektowanego chodnika, elementów odwodnienia (kanalizacji deszczowej i istn. przepustów) oraz istniejących sieci uzbrojenia terenu, itd. - kompletna obsługa geodezyjna inwestycji 
&lt;L=0,40km&gt; - w ciągu DP</t>
  </si>
  <si>
    <r>
      <t xml:space="preserve">Rozebranie przepustów pod zjazdami z rur betonowych o średnicy </t>
    </r>
    <r>
      <rPr>
        <sz val="10"/>
        <rFont val="Czcionka tekstu podstawowego"/>
        <family val="0"/>
      </rPr>
      <t>ø</t>
    </r>
    <r>
      <rPr>
        <sz val="10"/>
        <rFont val="Times New Roman"/>
        <family val="1"/>
      </rPr>
      <t>40cm wraz z zasypką .
&lt;L=78,9m &gt;- wg Tabeli nr 1</t>
    </r>
  </si>
  <si>
    <r>
      <t xml:space="preserve">Wykonanie kanalizacji deszczowej  (rów kryty) - kolektor z rur polipropylenowych PP, dwuściennych o śr. wew. </t>
    </r>
    <r>
      <rPr>
        <b/>
        <sz val="10"/>
        <rFont val="Czcionka tekstu podstawowego"/>
        <family val="0"/>
      </rPr>
      <t>ø</t>
    </r>
    <r>
      <rPr>
        <b/>
        <sz val="10"/>
        <rFont val="Times New Roman"/>
        <family val="1"/>
      </rPr>
      <t>400 wraz z wykonaniem podsypki i obsypki z piasku o gr. min. 20cm</t>
    </r>
  </si>
  <si>
    <r>
      <t xml:space="preserve">Wykonanie kanału z rur typu PP, dwuściennych o średnicy wewnętrznej </t>
    </r>
    <r>
      <rPr>
        <sz val="10"/>
        <rFont val="Czcionka tekstu podstawowego"/>
        <family val="0"/>
      </rPr>
      <t>ø</t>
    </r>
    <r>
      <rPr>
        <sz val="10"/>
        <rFont val="Times New Roman"/>
        <family val="1"/>
      </rPr>
      <t xml:space="preserve"> 400, łączone na wcisk wraz z wykonaniem podsypki i obsypki z piasku o gr. min. 20cm
&lt;L1==46+31+45=122,0m&gt; - Kanał nr 1;
&lt;L2==38+41+43=122,0m&gt; - Kanał nr 2A
&lt;Razem: L=244,0m&gt; - wg rys. nr 2 Plan sytuacyjny i nr 4 Profil podłużny</t>
    </r>
  </si>
  <si>
    <r>
      <t xml:space="preserve">&lt;próba szczelności kanałów rurowych, kanał </t>
    </r>
    <r>
      <rPr>
        <i/>
        <sz val="10"/>
        <rFont val="Czcionka tekstu podstawowego"/>
        <family val="0"/>
      </rPr>
      <t>ø</t>
    </r>
    <r>
      <rPr>
        <i/>
        <sz val="10"/>
        <rFont val="Times New Roman"/>
        <family val="1"/>
      </rPr>
      <t>·400·mm&gt;</t>
    </r>
  </si>
  <si>
    <r>
      <t xml:space="preserve">Wykonanie studni kanalizacyjnych przelotowych i połączeniowych z tworzyw sztucznych HDPE </t>
    </r>
    <r>
      <rPr>
        <b/>
        <sz val="10"/>
        <rFont val="Czcionka tekstu podstawowego"/>
        <family val="0"/>
      </rPr>
      <t>ø</t>
    </r>
    <r>
      <rPr>
        <b/>
        <sz val="10"/>
        <rFont val="Times New Roman"/>
        <family val="1"/>
      </rPr>
      <t>80cm w gotowym wykopie</t>
    </r>
  </si>
  <si>
    <r>
      <t xml:space="preserve">Wykonanie studni kanalizacyjnej połączeniowej żelbetowej </t>
    </r>
    <r>
      <rPr>
        <b/>
        <sz val="10"/>
        <rFont val="Czcionka tekstu podstawowego"/>
        <family val="0"/>
      </rPr>
      <t>ø</t>
    </r>
    <r>
      <rPr>
        <b/>
        <sz val="10"/>
        <rFont val="Times New Roman"/>
        <family val="1"/>
      </rPr>
      <t>200cm w gotowym wykopie</t>
    </r>
  </si>
  <si>
    <t>Odcinek DP od km (lok) 0+200,0 do km 0+260,0 wraz z wytyczeniem wszystkich punktów projektowanego chodnika, elementów odwodnienia (kanalizacji deszczowej i wylotów) oraz istniejących sieci uzbrojenia terenu, itd. - kompletna obsługa geodezyjna inwestycji.
&lt;L=0,06km&gt; - w ciągu DP</t>
  </si>
  <si>
    <t>Karczowanie drzew o średnicy 10-35cm wraz z usunieciem (zniszczeniem) karpiny, wywozem gałęzi i dłużyc oraz zasypaniem dołów. Dłużyce i gałęzie pozostają własnością Zamawiającego, należy je przewieźć na miejsce wskazane przez Zamawiajacego.
&lt;N=..........szt.&gt;</t>
  </si>
  <si>
    <t>Karczowanie krzaków (samosiewy)  i krzewów ozdobnych wraz z usunięciem (zniszczeniem) karpiny, drągowiny i gałęzi. Materiał z karczowania stanowi własnośc Wykonawcy robót.
&lt;F=.............m2&gt;</t>
  </si>
  <si>
    <t>Mechaniczne usunięcie warstwy urodzajnej (humusu) gr. w-wy 25cm  ze złożeniem na placu Wykonawcy. Humus do późniejszego wykorzystania (proj. grubość humusu 10cm) . Miejsce składowania zapewnia Wykonawca. Średnia grubość w-wy darniny 10cm. Darnina przechodzi na własność Wykonawcy.
&lt;F= ..............m2&gt; - wg Tabeli nr ..........&gt;</t>
  </si>
  <si>
    <r>
      <t xml:space="preserve">Wykonanie kanalizacji deszczowej  - kolektor z rur polipropylenowych PP, dwuściennych o śr. wew. </t>
    </r>
    <r>
      <rPr>
        <b/>
        <sz val="10"/>
        <rFont val="Czcionka tekstu podstawowego"/>
        <family val="0"/>
      </rPr>
      <t>ø</t>
    </r>
    <r>
      <rPr>
        <b/>
        <sz val="10"/>
        <rFont val="Times New Roman"/>
        <family val="1"/>
      </rPr>
      <t>400 wraz z wykonaniem podsypki i obsypki z piasku o gr. min. 20cm</t>
    </r>
  </si>
  <si>
    <r>
      <t xml:space="preserve">Wykonanie kanału z rur typu PP, dwuściennych o średnicy wewnętrznej </t>
    </r>
    <r>
      <rPr>
        <sz val="10"/>
        <rFont val="Czcionka tekstu podstawowego"/>
        <family val="0"/>
      </rPr>
      <t>ø</t>
    </r>
    <r>
      <rPr>
        <sz val="10"/>
        <rFont val="Times New Roman"/>
        <family val="1"/>
      </rPr>
      <t xml:space="preserve"> 400, łączone na wcisk wraz z wykonaniem podsypki i obsypki z piasku o gr. min. 20cm
&lt;L=21+30=51,0m&gt; - Kanał nr 2B - wg rys. nr 2 Plan sytuacyjny i nr 4 Profil podłużny</t>
    </r>
  </si>
  <si>
    <r>
      <t xml:space="preserve">Wykonanie kanalizacji deszczowej  - kolektor z rur polipropylenowych PP, dwuściennych o śr. wew. </t>
    </r>
    <r>
      <rPr>
        <b/>
        <sz val="10"/>
        <rFont val="Czcionka tekstu podstawowego"/>
        <family val="0"/>
      </rPr>
      <t>ø</t>
    </r>
    <r>
      <rPr>
        <b/>
        <sz val="10"/>
        <rFont val="Times New Roman"/>
        <family val="1"/>
      </rPr>
      <t>600 wraz z wykonaniem podsypki i obsypki z piasku o gr. min. 20cm</t>
    </r>
  </si>
  <si>
    <t>03.02.01.29</t>
  </si>
  <si>
    <r>
      <t xml:space="preserve">&lt;próba szczelności kanałów rurowych, kanał </t>
    </r>
    <r>
      <rPr>
        <i/>
        <sz val="10"/>
        <rFont val="Czcionka tekstu podstawowego"/>
        <family val="0"/>
      </rPr>
      <t>ø</t>
    </r>
    <r>
      <rPr>
        <i/>
        <sz val="10"/>
        <rFont val="Times New Roman"/>
        <family val="1"/>
      </rPr>
      <t>·600·mm&gt;</t>
    </r>
  </si>
  <si>
    <t>sprawdzić</t>
  </si>
  <si>
    <t>sprawdzic</t>
  </si>
  <si>
    <r>
      <t xml:space="preserve">Wykonanie kanału z rur typu PP, dwuściennych o średnicy wewnętrznej </t>
    </r>
    <r>
      <rPr>
        <sz val="10"/>
        <rFont val="Czcionka tekstu podstawowego"/>
        <family val="0"/>
      </rPr>
      <t>ø</t>
    </r>
    <r>
      <rPr>
        <sz val="10"/>
        <rFont val="Times New Roman"/>
        <family val="1"/>
      </rPr>
      <t xml:space="preserve"> 600, łączone na wcisk wraz z wykonaniem podsypki i obsypki z piasku o gr. min. 25cm
&lt;L=48,5+48,5+48,5+23+33+33=234,50m&gt; - Kanał nr 3 - wg rys. nr 2 Plan sytuacyjny i nr 4 Profil podłużny</t>
    </r>
  </si>
  <si>
    <t>&lt;podłoża pod kanały z materiałów sypkich - piasku, grubość 25·cm, średnio: 0,18m2x1,0m&gt;</t>
  </si>
  <si>
    <t>&lt;obsypki 25cm ponad wierzch rury z kruszyw naturalnych - piasek, średnio: 1,0x(1,5x0,85-3,14x0,325x0,325)&gt;</t>
  </si>
  <si>
    <t xml:space="preserve">Wykonanie przykanalików deszczowych z rur PP Dn200, łączonych na wcisk wraz z podłożem i obsypką z materiału sypkiego (piasek) o gr. 20cm. Wykonanie próby szczelności kanałów deszczowych Dn200.
&lt;L=3,0+3,0=6,0m &gt; - w ciagu Kanału nr 2B - wg rys. nr 2 Plan Sytuacyjny </t>
  </si>
  <si>
    <t>Studzienki rewizyjne z gotowych elementów z tworzyw sztucznych HDPE o średnicy 800 mm z włazem szt. 1,0 w gotowym wykopie wraz z zasypaniem i podłączeniem przykanalików - studnie kompletne.
&lt;N=2,0szt &gt;- studnia: S10, S11 - Kanał nr 2B&gt; - wg rys. nr 2 Plan Sytuacyjny</t>
  </si>
  <si>
    <r>
      <t xml:space="preserve">Wykonanie studni kanalizacyjnych przelotowych żelbetowych </t>
    </r>
    <r>
      <rPr>
        <b/>
        <sz val="10"/>
        <rFont val="Czcionka tekstu podstawowego"/>
        <family val="0"/>
      </rPr>
      <t>ø</t>
    </r>
    <r>
      <rPr>
        <b/>
        <sz val="10"/>
        <rFont val="Times New Roman"/>
        <family val="1"/>
      </rPr>
      <t>100cm w gotowym wykopie</t>
    </r>
  </si>
  <si>
    <t>Wykonanie studni kanalizacyjnych przelotowych ø100cm (S5-S9) z kręgów żelbetonowych  z włazem żeliwnym i schodkami, na ławie z betonu C 35/45 gr. 30 cm, w gotowym wykopie  i zasypaniem oraz podłączeniem kanałów - studnie kompletne.
&lt;N=5,0szt &gt; - Kanał nr 3 - wg rys. nr 2 Plan Sytuacyjny</t>
  </si>
  <si>
    <t>Wykonanie studni kanalizacyjnej połączeniowej ø200cm (SP4) z kręgów żelbetowych z włazem żeliwnym i schodkami, na ławie z betonu C35/45 gr. 30cm, w gotowym wykopie, z zasypaniem i podłączeniem kanałów - studnia kompletna. 
&lt;N=1,0szt&gt;- Kanał nr 3 i 2B - wg rys. nr 2 Plan Sytuacyjny</t>
  </si>
  <si>
    <t>Wykonanie studzienek ściekowych ulicznych (W5-W6) z tworzyw sztucznych PE o średnicy 415 mm, bezosadnikowa z kratą żeliwną (kraty ściekowe krawężnikowo - jezdniowe), na ławie z betonu C 12/15, gr. 20 cm, w gotowym wykopie oraz wraz z zasypaniem - studnie kompletne.
&lt;N=2,0szt.&gt; - Kanał nr 2B&gt; - wg rys. nr 2 Plan Sytuacyjny</t>
  </si>
  <si>
    <t>Wykonanie koryta pod konstrukcję poszerzenia pasa ruchu jezdni DP (szerokość pasa ruchu od strony chodnika 3,0m) i pod konstrukcję chodnika wraz z profilowaniem i zagęszczaniem podłoża w gr. kat. I-VI. Średnia głębokość koryta około 55cm.
&lt;F=126,0m2&gt;- odcinek od km 0+205,0 do km 0+257,4  - wg Tabeli nr ............</t>
  </si>
  <si>
    <t>Wykonanie warstwy z piasku stabilizowanej mechanicznie na chodniku dla pieszych "na szlaku", na zjazdach indywidualnych i poszerzeniu pasu ruchu DP, gr. w-wy po zagęszczeniu 10cm.
&lt;F1= 26,4m2&gt;  - poszerzenie pasa ruchu DP
&lt;F2= 88,5+5,0 = 93,5m2&gt; - chodnik na szlaku
&lt;F3= 26,64m2&gt; - chodnik na zjazdach i zjazdy poza chodnikiem
&lt;Razem: F=146,54m2&gt; - wg Tabeli nr ..........</t>
  </si>
  <si>
    <t>Oczyszczenie warstwy podbudowy z kruszywa łamanego 0/63mm stabilizowanego mechanicznie o gr. 20cm na poszerzeniu pasa ruchu DP oraz warstwy podbudowy z kruszywa naturalnego stabilizowanego cementem o gr.20cm na zjazdach poza chodnikiem.
&lt;F1=20,0m2&gt; - poszerzenie pasa ruchu DP
&lt;F2=13,44m2&gt;  - zjazdy poza chodnikiem
&lt;Razem: F=33,44m2&gt;</t>
  </si>
  <si>
    <t>Oczyszczenie warstwy konstrukcyjnej ulepszonej w postaci  warstwy wiążącej gr. 6cm z betonu asfaltowego AC 0/16mm na poszerzeniu pasa ruchu  DP.
&lt;F=20,0m2&gt; - poszerzenie pasa ruchu DP</t>
  </si>
  <si>
    <t>Skropienie warstwy podbudowy z kruszywa łamanego 0/63mm stabilizowanego mechanicznie o gr. 20cm na poszerzeniu pasa ruchu DP oraz warstwy podbudowy z kruszywa naturalnego stabilizowanego cementem o gr.20cm na zjazdach poza chodnikiem.
&lt;F1=20,0m2&gt; - poszerzenie pasa ruchu DP
&lt;F2=13,44m2&gt;  - zjazdy poza chodnikiem
&lt;Razem: F=33,44m2&gt;</t>
  </si>
  <si>
    <t>Skropienie warstwy konstrukcyjnej ulepszonej w postaci  warstwy wiążącej gr. 6cm z betonu asfaltowego AC 0/16mm na poszerzeniu pasa ruchu  DP.
&lt;F=20,0m2&gt; - poszerzenie pasa ruchu DP</t>
  </si>
  <si>
    <t>Wykonanie w-wy podbudowy z kruszywa łamanego 0/63mm stabilizowanego mechanicznie o gr. 15cm na chodniku na szlaku (poza zjazdami).
&lt;F= 94,00m2&gt; - wg rys. nr 2 Plan sytuacyjny</t>
  </si>
  <si>
    <t>Wykonanie podbudowy z kruszywa łamanego 0/63mm stabilizowanego mechanicznie, gr. w-wy20cm na poszerzeniu pasa ruchu DP
&lt;F=20,0m2&gt;  - wg rys. nr 2 Plan sytuacyjny</t>
  </si>
  <si>
    <t>Wykonanie podbudowy z kruszywa naturalnego stabilizowanego cementem Rm=1,5MPa, o gr. w-wy 15cm na chodniku dla pieszych na zjazdach.
&lt;F=10,8&gt;- wg tabeli nr 1</t>
  </si>
  <si>
    <t>Wykonanie podbudowy z kruszywa naturalnego stabilizowanego cementem Rm=2,5MPa, o gr. w-wy 20cm na jazdach poza chodnikiem i na poszerzeniu pasa ruchu DP.
&lt;F1 =13,44 m2&gt; - zjazdy - wg tabeli nr 1
&lt;F2 =26,4m2&gt; - poszerzenie pasa ruchu DP
&lt;Razem: F=39,84m2 &gt;</t>
  </si>
  <si>
    <t>Wykonanie nawierzchni z betonu asfaltowego AC 16W, warstwa wiążąca,  gr. w-wy 6 cm na  poszerzeniu pasu ruchu DP.
&lt;F=52,5m2&gt; - wg. rys. nr 2 Plan Sytuacyjny</t>
  </si>
  <si>
    <t>Wykonanie nawierzchni z betonu asfaltowego AC 11S, warstwa ścieralna, gr. w-wy 
4 cm na poszerzeniu pasa ruchu DP.
&lt;F=52,5m2&gt; - wg. rys. nr 2 Plan Sytuacyjny</t>
  </si>
  <si>
    <t>Wykonanie nawierzchni z betonu asfaltowego AC 11S, warstwa ścieralna, gr. w-wy 5 cm na zjazdach poza chodnikiem.
&lt;F = 12,0m2&gt; - wg Tabeli nr 1</t>
  </si>
  <si>
    <t>Wykonanie frezowania nawierzchni asfaltowych na zimno: śr. gr. około 7cm na poszerzeniu jezdni DP (schodkowanie nawierzchni).
&lt;F =26,25m2&gt; - wg. rys. nr 2 Plan Sytuacyjny</t>
  </si>
  <si>
    <t>Cięcie piłą nawierzchni bitumicznych na gł. 5-10cm na schodkowaniach przy poszerzeniu jezdni DP (od strony poszerzenia pasa ruchu)
&lt;L=52,5m&gt; - w ciągu DP</t>
  </si>
  <si>
    <t>Materiał z frezowania stanowi własność Zamawiającego. Transport materiału przez Wykonawcę na plac składowania wskazany przez Zamawiajacego.
&lt;V=1,84m3&gt;</t>
  </si>
  <si>
    <t>Ułożenie warstwy wzmacniającej z geosiatki (wytrzymałość długotrwała w obu kierunkach  100kN/m i e &lt;=3%) na poszerzeniach jezdni DP.
&lt;F=52,5m2&gt;  - wg rys. 3 Przekroje Typowe</t>
  </si>
  <si>
    <t>31.1</t>
  </si>
  <si>
    <t>Wykonanie poboczy gruntowych na zjazdach poza chodnikiem. Szerokość min. poboczy 0,5m.
&lt;F=2,0m2&gt; - wg Tabeli nr 1</t>
  </si>
  <si>
    <t>Wykonanie obudowy wylotów kolektorów</t>
  </si>
  <si>
    <t>03.02.01.61</t>
  </si>
  <si>
    <t>Wykonanie żelbetowego wylotu kolektora PP ø 600 (WL1) na skarpie koryta rz. Wielopolka. Wylot z klapą zwrotna, zgodnie z rysunkiem szczegółu nr ...- analogia do rozwiązań KPED karta 02.16. - Wylot kompletny.
&lt;N=1,0szt &gt; - wg rys. nr 2 Plan Sytuacyjny i szczegółu nr  .......</t>
  </si>
  <si>
    <t>31.2</t>
  </si>
  <si>
    <t>33.1</t>
  </si>
  <si>
    <t>06.01.01.43</t>
  </si>
  <si>
    <t>Wykonanie umocnienia skarp płytami prefabrykowanymi ażurowymi o gr. 10cm na podsypce cementowo - piaskowej</t>
  </si>
  <si>
    <t>Wykonanie umocnienia skarp płytami ażurowymi o gr. 10cm na podsypce cementowo - piaskowej 1:4 o gr. 5cm w obrębie żelbetowego wylotu  (WL1) kanalizacji deszczowej na skarpie rz. Wielopolka.
&lt;F=...m2&gt;- wg rys. 2 Plan sytuacyjny</t>
  </si>
  <si>
    <t xml:space="preserve">Plantowanie powierzchni (obrobienie na czysto) skarp wykonywanych ręcznie w gruncie nieskalistym.
&lt;F=.....m2&gt; - w ciągu DP i w obrębie wylotu (WL1) kanalizacji deszczowej </t>
  </si>
  <si>
    <t>Doprowadzenie terenu do stanu pierwotnego oraz oświadczenia stron o przejęciu terenów przyległych do budowy i dzierżawionych/zajmowanych przez Wykonawcę  robót o doprowadzeniu do stanu umożliwiającego użytkowanie zgodnie z ich pierwotnym przeznaczeniem</t>
  </si>
  <si>
    <t>Ustawienie krawężników betonowych o wymiarach 15x30 cm  (odsłonięcie 4cm i 12cm) na podsypce cementowo-piaskowej 1:4 o grubości 5cm i na  ławie betonowej C12/15 gr. 15cm z oporem o V=0,082 m3/mb
&lt;L= 53,0,0m&gt;  - wg Szczegółu nr ...........</t>
  </si>
  <si>
    <t>Wykonanie chodnika "na szlaku" z kostki brukowej betonowej szarej o grubości 6cm na podsypce cementowo - piaskowej 1:4 o grubości 3cm, spoiny wypeł. piaskiem - w tym wyznaczenie opaski bezpieczeństwa 2- rzędami kostki kolorowej (np. czerwonej) na długości chodnika (50cm od lica krawężnika).
&lt;F= 93,0m2&gt; - wg rys. nr 2 Plan sytuacyjny i  rys. nr 3 Przekroje typowe</t>
  </si>
  <si>
    <t xml:space="preserve">Wykonanie chodnika na zjazdach z kostki brukowej betonowej kolorowej (np. czerwonej) o grubości 8cm na podsypce cementowo - piaskowej 1:4 o grubości 3cm, spoiny wypeł. Piaskiem.
&lt;F=10,8m2&gt; - wg Tabeli nr 1
</t>
  </si>
  <si>
    <t>Ustawienie obrzeży betonowych o wymiarach 30x8cm na podsypce cementowo-piaskowej 1:4 o grubości 3cm i ławie betonowej C12/15, gr. 10cm o V=0,024m3/m
&lt;L= 53,0m &gt; - wg Szczegółu nr 1.1</t>
  </si>
  <si>
    <t>REMONT CHODNIKA DLA PIESZYCH  W CIĄGU DP (ROBOTY DROGOWE)</t>
  </si>
  <si>
    <r>
      <t>m</t>
    </r>
    <r>
      <rPr>
        <b/>
        <vertAlign val="superscript"/>
        <sz val="10"/>
        <color indexed="10"/>
        <rFont val="Times New Roman"/>
        <family val="1"/>
      </rPr>
      <t>2</t>
    </r>
  </si>
  <si>
    <r>
      <t>m</t>
    </r>
    <r>
      <rPr>
        <vertAlign val="superscript"/>
        <sz val="10"/>
        <color indexed="10"/>
        <rFont val="Times New Roman"/>
        <family val="1"/>
      </rPr>
      <t>2</t>
    </r>
  </si>
  <si>
    <t xml:space="preserve">Rozbiórka i powtórny montaż znaków D-1 i D-6 (tablice i słupek stalowy) </t>
  </si>
  <si>
    <t>Rzobiórka tablicy adresowej
 "ul. Wyszyńskiego"
 na słupku stalowym</t>
  </si>
  <si>
    <t xml:space="preserve">Rozbiórka i powtórny montaż znaku B -1 wraz z tabliczką "nie dotyczy mieszkańców" (tablice i słupek stalowy) </t>
  </si>
  <si>
    <t>Wykonanie nawierzchni z betonu asfaltowego AC warstwa wiążąca,  gr. w-wy 4 cm</t>
  </si>
  <si>
    <t>Wykonanie warstwy odcinającej z piasku, gr. w-wy po zagęszczeniu 15cm</t>
  </si>
  <si>
    <t>Zdjęcie tablic znaków (materiał do ponownego wykorzystania).
&lt;N=5,0szt.&gt;- wg Tabeli nr 2</t>
  </si>
  <si>
    <t>Wykonanie nawierzchni z tłucznia kamiennego o gr. 15cm na zjazdach indywidualnych  
&lt;F=14,01m2- zjazd ZW0 w km 13+786,0&gt; - w ciągu DW
&lt;Razem: F=42,07m2&gt;</t>
  </si>
  <si>
    <t>Oczyszczenie rowów i elementów urządzeń odwodnienia drogi</t>
  </si>
  <si>
    <t>Ustawienie słupów z rury stalowej dla znaków drogowych i tablicy adresowej materiał z rozbiórki (z odzysku). 
&lt;N=3,0szt.&gt; - wg. Tabeli nr 2</t>
  </si>
  <si>
    <t>Przymocowanie tablicy adresowej i tarcz znaków drogowych do słupków stalowych- matariał z rozbiórki (z oddzysku). 
&lt;N=5,0szt.&gt; - wg. Tabeli nr 2</t>
  </si>
  <si>
    <t xml:space="preserve">Rodzaj istn. nawierzchni na zjeździe
</t>
  </si>
  <si>
    <t>bitumiczna</t>
  </si>
  <si>
    <t>Kilometraż</t>
  </si>
  <si>
    <t>Długość zjazdu po przebudowie</t>
  </si>
  <si>
    <t>kostka brukowa</t>
  </si>
  <si>
    <t>0+158,7</t>
  </si>
  <si>
    <t>0+177,50</t>
  </si>
  <si>
    <t>0+195,8</t>
  </si>
  <si>
    <t>0+216,9</t>
  </si>
  <si>
    <t>zjazd publiczny</t>
  </si>
  <si>
    <t>0+302,5</t>
  </si>
  <si>
    <t>0+240,0</t>
  </si>
  <si>
    <t>0+274,0</t>
  </si>
  <si>
    <t>0+320,3</t>
  </si>
  <si>
    <t>Zastąpienie instniejących dwóch zjazdów zaniżonym odcinkiem kraweznika - przejazd przez chodnik do istn. parkingu przy restauracji/pizzeri.</t>
  </si>
  <si>
    <t>0+337,40</t>
  </si>
  <si>
    <t>ZP10</t>
  </si>
  <si>
    <t>ZP11</t>
  </si>
  <si>
    <t>0+441,20</t>
  </si>
  <si>
    <t>0+453,9</t>
  </si>
  <si>
    <t>0+467,0</t>
  </si>
  <si>
    <t>0+483,9</t>
  </si>
  <si>
    <t>ZI20</t>
  </si>
  <si>
    <t>0+487,8</t>
  </si>
  <si>
    <t>ZI21</t>
  </si>
  <si>
    <t xml:space="preserve">zjazd indywidualny </t>
  </si>
  <si>
    <t>0+505,2</t>
  </si>
  <si>
    <t>S1</t>
  </si>
  <si>
    <t>skrzyżowanie z ul. Wierzbowe Miasto</t>
  </si>
  <si>
    <t>PROJEKTOWANA NAWIERZCHNIA 
(W-WA ŚCIERALNA)</t>
  </si>
  <si>
    <t>Razem rozbiórka naw. bitumicznej</t>
  </si>
  <si>
    <t>Razem wykonanie nawierzchni bitumicznej</t>
  </si>
  <si>
    <t>Razem wykonanie nawierzchni z  kostki betonowej</t>
  </si>
  <si>
    <t>Rozebranie nawierzchni (w-wa ścieralna ) z mieszanek mineralno - bitumicznych gr. w-wy około 5cm na zjazdach.
&lt;F=105,90m2 &gt; - wg Tabeli nr 1</t>
  </si>
  <si>
    <t>Materiał z rozbiórki przechodzi na własność Wykonawcy.Transport i utylizacja materiału przez Wykonawcę.
&lt;V=105,9m2 x0,05m =5,30m3&gt;</t>
  </si>
  <si>
    <t>Rozebranie słupków stalowych rurowych do znaków drogowych (materiał do ponownego wykorzystania).
&lt;N=3,0szt.&gt; - wg Tabeli nr 2</t>
  </si>
  <si>
    <t xml:space="preserve">Rozebranie krawężników i obrzeży betonowych na ławie betonowej </t>
  </si>
  <si>
    <t xml:space="preserve">Ul. Ks. Kard. Stefana Wyszyńskiego od km 0+033,9 do km 0+349,5 oraz od km 431,2 do km 514,0 </t>
  </si>
  <si>
    <t>Wykonanie koryta pod konstrukcję chodnika lewostronnego (odcinek długości ok 10m od skrzyżowania z ul. Marszałka Piłsudskiego) wraz z profilowaniem i zagęszczaniem podłoża w gr. kat. I-VI. Średnia głębokość koryta około 20cm.
&lt;F=20,0m2&gt;- odcinek od km 0+033,9 do km 0+044,0</t>
  </si>
  <si>
    <t>Rozebranie podbudowy z kruszywa/istn konstrukcji chodnika o gr. w-wy około 25 cm - istniejąca konstrukcja na chodniku,  zjazdach indywidualnych i publicznych.
&lt; F=624,29m2&gt; - wg Tabeli nr 1</t>
  </si>
  <si>
    <t>Materiał z rozbiórki zakwalifikowany jako przydatny przechodzi na własność Zamawiającego. Materiał nieprzydatny podlega utylizacji przez Wykonawcę. Transport materiału przydatnego przez Wykonawcę na plac składowania wskazany przez Zamawiajacego.
&lt;V=624,29m2 x0,20m =124,86m3&gt;</t>
  </si>
  <si>
    <t>Materiał z rozbiórki zakwalifikowany jako przydatny przechodzi na własność Zamawiającego. Materiał nieprzydatny podlega utylizacji przez Wykonawcę. Transport materiału przydatnego przez Wykonawcę na plac składowania wskazany przez Zamawiajacego.
&lt;V=624,29m2x0,06m =37,46m3&gt;</t>
  </si>
  <si>
    <t>Materiał z rozbiórki zakwalifikowany jako przydatny przechodzi na własność Zamawiającego. Materiał nieprzydatny podlega utylizacji przez Wykonawcę. Transport materiału przydatnego przez Wykonawcę na plac składowania wskazany przez Zamawiajacego.
&lt;V=32,09m3&gt;</t>
  </si>
  <si>
    <t>Rozebranie elementów obramowania istn. chodnika tj. krawężników betonowych o wym. 15 x 30cm ułożonych na podsypce cementowo-piaskowej i ławie fundamentowej oraz obrzeży owymiarach 6 x 20cm i 8 x 30cm na podsypce i ławie fundamentowej.
&lt;L1=393m&gt; długość krawężników
&lt;L2=320m&gt; długość obrzeża
&lt;Razem L=393+320=713m&gt;</t>
  </si>
  <si>
    <t>Nawierzchnia z betonu asfaltowego AC11S o gr. 4cm
[m2]</t>
  </si>
  <si>
    <t>kpl.</t>
  </si>
  <si>
    <t xml:space="preserve">Wykonanie w-wy podbudowy z kruszywa łamanego 0/63mm stabilizowanego mechanicznie o gr. 15cm na chodniku na szlaku (poza zjazdami).
&lt;F= 520,84m2&gt; </t>
  </si>
  <si>
    <t>Udrożnienie urządzeń odwadniających ul. Wyszyńskiego poprzez oczyszczenie skarp i odmulenie dna rowu otwartego, studzienek kanalizycyjnych oraz przepustów pod korpusem ul. Wyszyńskiego w zależności od potrzeb wg. wskazań Inspektora Nadzoru / Inwestora</t>
  </si>
  <si>
    <t xml:space="preserve">Ustawienie krawężników betonowych o wymiarach 15x30 cm  (odsłonięcie 4cm i 12cm) na podsypce cementowo-piaskowej 1:4 o grubości 5cm i na  ławie betonowej C12/15 gr. 15cm z oporem o V=0,082 m3/mb
&lt;L= 445,0m&gt; </t>
  </si>
  <si>
    <t>Wykonanie chodnika "na szlaku" z kostki brukowej betonowej szarej o grubości 6cm na podsypce cementowo - piaskowej 1:4 o grubości 3cm, spoiny wypeł. piaskiem - w tym wyznaczenie opaski bezpieczeństwa 2- rzędami kostki kolorowej (np. czerwonej) na długości chodnika.
&lt;F=520,84m2&gt;</t>
  </si>
  <si>
    <t>Wykonanie podbudowy z kruszywa naturalnego stabilizowanego cementem Rm=1,5MPa, o gr. w-wy 15cm na chodniku dla pieszych na zjazdach.
&lt;F=192,71m2&gt;- wg tabeli nr 1</t>
  </si>
  <si>
    <t>Wykonanie warstwy z piasku stabilizowanej mechanicznie na chodniku dla pieszych "na szlaku", na zjazdach indywidualnych i publicznych, gr. w-wy po zagęszczeniu 15cm.
&lt;F1= 520,84m2&gt;  - chodnik na szlaku
&lt;F2= 192,71m2&gt; -  chodnik na zjazdach
&lt;Razem: F=713,55m2&gt;</t>
  </si>
  <si>
    <t>Wykonanie chodnika na zjazdach z kostki brukowej betonowej kolorowej (np. czerwonej) o grubości 8cm na podsypce cementowo - piaskowej 1:4 o grubości 3cm, spoiny wypeł. piaskiem.
&lt;F=156,21m2&gt;</t>
  </si>
  <si>
    <t>Ustawienie obrzeży betonowych o wymiarach 30x8cm na podsypce cementowo-piaskowej 1:4 o grubości 3cm i ławie betonowej C12/15, gr. 10cm o V=0,024m3/m
&lt;L= 465,00m&gt;</t>
  </si>
  <si>
    <t>ZABEZPIECZENIE URZĄDZEŃ TELETECHNICZNYCH (ROBOTY TELEKOMUNIKACYJNE) 
- BRANŻA TELETECHNICZNA-</t>
  </si>
  <si>
    <t>SST D01.03.04
CPV 45111000-8</t>
  </si>
  <si>
    <t>PRZEBUDOWA I ZABEZPIECZENIE ISTNIEJĄCYCH SIECI TELEKOMUNIKACYJNYCH                                                                                                                                    Roboty budowlane w zakresie budowy rurociągów,ciągów komunikacyjnych i linii telekomunikacyjnych.</t>
  </si>
  <si>
    <t>Przebudowa elementów sieci telekomunikacyjnej</t>
  </si>
  <si>
    <t>IV</t>
  </si>
  <si>
    <t xml:space="preserve">SST 01.03.05
CPV 45231300-8 
CPV 45232150-8 </t>
  </si>
  <si>
    <r>
      <t xml:space="preserve">Przebudowa podziemnych lini wodociągowych
</t>
    </r>
    <r>
      <rPr>
        <sz val="10"/>
        <rFont val="Times New Roman"/>
        <family val="1"/>
      </rPr>
      <t xml:space="preserve">Roboty budowlane w zakresie budowy wodociągów i rurociągów do odprowadzania ścieków 
Roboty w zakresie rurociągów do przesyłu wody </t>
    </r>
  </si>
  <si>
    <t>Przebudowa elementów sieci wodociągowej</t>
  </si>
  <si>
    <t>01.02.04.90</t>
  </si>
  <si>
    <t>Rozbiórka elementów przestrzennych</t>
  </si>
  <si>
    <t>Wykonanie nawierzchni z betonu asfaltowego AC 11S, warstwa ścieralna, gr. w-wy 
4 cm na zjezdzie do Przedszkola, zjeździe do "SOSW w Ropczycach"  i ul. Wierzbowe Miasto.
&lt;F=44,00m2&gt; - wg. Tabeli nr 1</t>
  </si>
  <si>
    <t>Wykonanie nawierzchni z betonu asfaltowego AC 16W, warstwa wiążąca,  gr. w-wy 4 cm na zjezdzie publicznym do przedszkola i "SOSW".
&lt; F=30,00m2&gt; - wg. Tabeli nr 1</t>
  </si>
  <si>
    <t>Wykonanie frezowania nawierzchni asfaltowych na zimno: śr. gr.  4 - 8 cm na zjeździe publicznym do przedszkola, "SOSW" i skrzyżowaniu z ul. Wierzbowe Miasto.
&lt;F =44,00m2&gt;</t>
  </si>
  <si>
    <t>ZABEZPIECZENIE SIECI WODOCIĄGOWEJ  (ROBOTY WODNO-KANALIZACYJNE) 
- BRANŻA SANITARNA -</t>
  </si>
  <si>
    <t>Regulacja wysokościowa, dostosowanie do poziomu projektowanej nawierzchni zjazdów i chodnika istniejących ram i pokryw studni telekomunkacyjnych. Koszt opracowania niezbędnych projektów technologicznych oraz koszty ewentualnych nadzorów ze strony Właściciela sieci w gestii Wykonawcy.
&lt;N= 10,00szt.&gt;</t>
  </si>
  <si>
    <t>Regulacja wysokościowa, dostosowanie do poziomu projektowanej nawierzchni zjazdów i chodnika istniejącej armatury wodociągowej min. trzpieni i skrzynek zasów oraz hydrantów. Koszt opracowania niezbędnych projektów technologicznych oraz koszty ewentualnych nadzorów ze strony Właściciela sieci w gestii Wykonawcy.
&lt;N= 8,00szt.&gt;</t>
  </si>
  <si>
    <t>Rozebranie nawierzchni z kostki betonowej brukowej o gr. 6cm/drobnowymiarowych elementów betonowych na podsypce cementowo-piaskowej o gr. 3cm na chodniku i zjazdach. 
&lt;F1=580,24m2&gt; - nawierzchnia chodnika
&lt;F2= 44,05m2&gt; - nawierzchnia na zjazdach
&lt;Razem F=624,29m2&gt; - wg Tabeli nr 1</t>
  </si>
  <si>
    <t>Demontaż elementów przestrzennych nie stanowiących wyposazenia drogi, zlokalizowanych w istniejącym pasie drogowym: 
1. Ławka parkowa - 1szt.
2. Krzyż kamienny wys. ok  50cm - 1szt.
Transport w/w elementów na plac składowania wskazany przez Zamawiającego.</t>
  </si>
  <si>
    <t xml:space="preserve">POWIAT ROPCZYCKO-SĘDZISZOWSKI
UL. KONOPNICKIEJ 5
39 – 100 ROPCZYCE
</t>
  </si>
  <si>
    <t>Ilośc jednostek</t>
  </si>
  <si>
    <t>OGÓŁEM [I]: WYMAGANIA OGÓLNE  (DZIAŁ OGÓLNY)</t>
  </si>
  <si>
    <t>OGÓŁEM [II]: ROBOTY DROGOWE</t>
  </si>
  <si>
    <t>RAZEM [B]</t>
  </si>
  <si>
    <t>RAZEM [A]</t>
  </si>
  <si>
    <t>RAZEM [C]</t>
  </si>
  <si>
    <t>OGÓŁEM [III]: BRANŻA TELETECHNICZNA</t>
  </si>
  <si>
    <t>RAZEM [D]</t>
  </si>
  <si>
    <t>OGÓŁEM [IV]: BRANŻA SANITARNA</t>
  </si>
  <si>
    <t>RAZEM [E]</t>
  </si>
  <si>
    <t>RAZEM [F]</t>
  </si>
  <si>
    <t>RAZEM [G]</t>
  </si>
  <si>
    <t>BRANŻA TELETECHNICZNA</t>
  </si>
  <si>
    <t>ROBOTY BUDOWLANE W ZAKRESIE SIECI TELEKOMUNIKACYJNYCH</t>
  </si>
  <si>
    <t>RAZEM [H]</t>
  </si>
  <si>
    <t>ROBOTY BUDOWLANE W ZAKRESIE SIECI WODOCIĄGOWYCH</t>
  </si>
  <si>
    <t>BRANŻA SANITARNA</t>
  </si>
  <si>
    <t>DROGOWA, TELETECHNICZNA, SANITARNA</t>
  </si>
  <si>
    <t>31.07.2017 r.</t>
  </si>
  <si>
    <t>Tabela nr 1. Zjazdy indywidualne / publiczne / skrzyżowania</t>
  </si>
  <si>
    <t>PRZEBUDOWA CHODNIKA DLA PIESZYCH WRAZ Z REMONTEM I ZABEZPIECZENIEM SKARPY W CIĄGU ULICY POWIATOWEJ 
NR 1358R UL. WYSZYŃSKIEGO W ROPCZYCACH OD KM 0+347,25 DO KM 0+444,50</t>
  </si>
  <si>
    <t>Rozebranie podbudowy z kruszywa/istn konstrukcji chodnika o gr. w-wy około 25 cm - istniejąca konstrukcja na chodniku, zjazdach indywidualnych i publicznych.
&lt; F=624,29m2&gt; - wg Tabeli nr 1</t>
  </si>
  <si>
    <t>Materiał z rozbiórki zakwalifikowany jako przydatny do ewentualnego ponownego wykorzysta. Materiał nieprzydatny podlega utylizacji przez Wykonawcę. Transport materiału przydatnego przez Wykonawcę na plac składowania wskazany przez Zamawiajacego.
&lt;V=624,29m2 x0,20m =124,86m3&gt;</t>
  </si>
  <si>
    <r>
      <t>m</t>
    </r>
    <r>
      <rPr>
        <b/>
        <vertAlign val="superscript"/>
        <sz val="10"/>
        <color indexed="10"/>
        <rFont val="Times New Roman"/>
        <family val="1"/>
      </rPr>
      <t>2</t>
    </r>
  </si>
  <si>
    <r>
      <t>m</t>
    </r>
    <r>
      <rPr>
        <vertAlign val="superscript"/>
        <sz val="10"/>
        <color indexed="10"/>
        <rFont val="Times New Roman"/>
        <family val="1"/>
      </rPr>
      <t>2</t>
    </r>
  </si>
  <si>
    <r>
      <t>m</t>
    </r>
    <r>
      <rPr>
        <vertAlign val="superscript"/>
        <sz val="10"/>
        <color indexed="10"/>
        <rFont val="Times New Roman"/>
        <family val="1"/>
      </rPr>
      <t>3</t>
    </r>
  </si>
  <si>
    <t>Rozebranie nawierzchni z kostki betonowej brukowej o gr. 6cm/drobnowymiarowych elementów betonowych na podsypce cementowo-piaskowej o gr. 3cm na chodniku. 
&lt;F=146,42m2&gt; - wg Rys. Plan sytuacyjny</t>
  </si>
  <si>
    <t>0+350,85</t>
  </si>
  <si>
    <t>Szerokość nawierzchni zjazdu po przebudowie</t>
  </si>
  <si>
    <t>0+354,45</t>
  </si>
  <si>
    <t>Strona drogi zgodnie z km
L/P</t>
  </si>
  <si>
    <t>grunt/kruszywo</t>
  </si>
  <si>
    <t>grunt/
kruszywo</t>
  </si>
  <si>
    <t>0+362,0</t>
  </si>
  <si>
    <t>P</t>
  </si>
  <si>
    <t>0+374,25</t>
  </si>
  <si>
    <t>0+412,90</t>
  </si>
  <si>
    <t>Razem rozbiórka naw. Gruntowo - kruszywowych</t>
  </si>
  <si>
    <t>Materiał z rozbiórki zakwalifikowany jako przydatny do ewentualnego ponownego wykorzysta. Materiał nieprzydatny podlega utylizacji przez Wykonawcę. Transport materiału przydatnego przez Wykonawcę na plac składowania wskazany przez Zamawiajacego.
&lt;V=190,12m2 x0,20m =38,02m3&gt;</t>
  </si>
  <si>
    <t>Materiał z rozbiórki zakwalifikowany jako przydatny przechodzi na własność Zamawiającego. Materiał nieprzydatny podlega utylizacji przez Wykonawcę. Transport materiału przydatnego przez Wykonawcę na plac składowania wskazany przez Zamawiajacego.
&lt;V=146,42m2x0,06m =8,79m3&gt;</t>
  </si>
  <si>
    <r>
      <t>m</t>
    </r>
    <r>
      <rPr>
        <b/>
        <vertAlign val="superscript"/>
        <sz val="10"/>
        <color indexed="10"/>
        <rFont val="Times New Roman"/>
        <family val="1"/>
      </rPr>
      <t>2</t>
    </r>
  </si>
  <si>
    <r>
      <t>m</t>
    </r>
    <r>
      <rPr>
        <vertAlign val="superscript"/>
        <sz val="10"/>
        <color indexed="10"/>
        <rFont val="Times New Roman"/>
        <family val="1"/>
      </rPr>
      <t>2</t>
    </r>
  </si>
  <si>
    <t>Karczowanie drzew o średnicy 10-35cm wraz z usunieciem (zniszczeniem) karpiny, wywozem gałęzi i dłużyc oraz zasypaniem dołów. Zagospodarownie dłużyc i gałęzi należy uzgodnić z Właścicielem posesji (złożenie we wskazanym miejscu bądź wywiezienie przez Wykonawcę), .
&lt;N=12,0szt.&gt;</t>
  </si>
  <si>
    <t>Karczowanie krzaków (samosiewy)  i krzewów ozdobnych wraz z usunięciem (zniszczeniem) karpiny, drągowiny i gałęzi. Materiał z karczowania stanowi własnośc Wykonawcy robót.
&lt;F=20,0m2&gt;</t>
  </si>
  <si>
    <t xml:space="preserve">Odcinek DP od km (lok) 0+347,25 do km 0+444,50 wraz z wytyczeniem wszystkich punktów projektowanego chodnika, elementów odwodnienia, istniejących sieci uzbrojenia terenu, itd. - kompletna obsługa geodezyjna inwestycji 
&lt;L=0,10km&gt; </t>
  </si>
  <si>
    <t>Mechaniczne usunięcie warstwy urodzajnej (humusu) gr. w-wy 25cm  ze złożeniem na placu Wykonawcy. Humus do późniejszego wykorzystania (proj. grubość humusu 15cm) . Miejsce składowania zapewnia Wykonawca. Średnia grubość w-wy darniny 10cm. Nadmiar humusu oraz darnina przechodzi na własność Wykonawcy.
&lt;F=214,00m2&gt; - wg Rys. Plan sytuacyjny</t>
  </si>
  <si>
    <t>Rozebranie elementów obramowania istn. chodnika tj. krawężników betonowych o wym. 15 x 30cm ułożonych na podsypce cementowo-piaskowej i ławie fundamentowej oraz obrzeży owymiarach 6 x 20cm i 8 x 30cm na podsypce i ławie fundamentowej.
&lt;L1=98,00m&gt; długość krawężników
&lt;L2=98,00m&gt; długość obrzeża
&lt;Razem L=196,00m&gt;</t>
  </si>
  <si>
    <t>Materiał z rozbiórki zakwalifikowany jako przydatny przechodzi na własność Zamawiającego. Materiał nieprzydatny podlega utylizacji przez Wykonawcę. Transport materiału przydatnego przez Wykonawcę na plac składowania wskazany przez Zamawiajacego.
&lt;V=8,82m3&gt;</t>
  </si>
  <si>
    <t>Rozebranie przepustów rurowych pod zjazdami</t>
  </si>
  <si>
    <t xml:space="preserve">Kanalizacja deszczowa </t>
  </si>
  <si>
    <t>01.02.04.32</t>
  </si>
  <si>
    <t>Rozebranie i odtworzenie ogrodzeń</t>
  </si>
  <si>
    <t>03.02.01.42</t>
  </si>
  <si>
    <t>Wykonanie studzienek ściekowych z kregów betonowych o średnicy ø50cm, z wpustem żeliwnym typu cięzkiego</t>
  </si>
  <si>
    <t xml:space="preserve">Wykonanie studzienek ściekowych o średnicy 500mm z osadnikiem i wpustem żeliwnym typu ciężkiegowraz z wykonaniem wykopu i zasypaniem. Studzieńki kompletne. Studzienki "Wd1-Wd4".
&lt;N=4,0szt&gt; - wg Rys. Plan Sytuacyjny  </t>
  </si>
  <si>
    <t xml:space="preserve">Wykonanie przykanalików deszczowych z rur PP / PEHD Dn200, Przykanaliki pod nawierzchnia ulicy Wyszyńskiego należy przewidzieć do wykonania w technologii bezwykopowej (wpust WD1 i WD2). Przykanaliki od wpustów "WD3" i "WD4" łączone na wcisk wraz z podłożem i obsypką z materiału sypkiego (piasek) o gr. 20cm. Wykonanie próby szczelności kanałów deszczowych Dn200.
&lt;L1=8,5+12,00 =20,50m&gt; - pod ul. Wyszyńskiego (od wpustu Wd1 i WD2)
&lt;L2=7,0+8,0=15,0m&gt; -  wyloty na skarpę (od wpustu WD3 i WD4)
&lt;Razem: L=35,50m&gt; - wg rys. nr 2 Plan Sytuacyjny </t>
  </si>
  <si>
    <r>
      <t>m</t>
    </r>
    <r>
      <rPr>
        <b/>
        <vertAlign val="superscript"/>
        <sz val="10"/>
        <color indexed="10"/>
        <rFont val="Times New Roman"/>
        <family val="1"/>
      </rPr>
      <t>2</t>
    </r>
  </si>
  <si>
    <r>
      <t>m</t>
    </r>
    <r>
      <rPr>
        <vertAlign val="superscript"/>
        <sz val="10"/>
        <color indexed="10"/>
        <rFont val="Times New Roman"/>
        <family val="1"/>
      </rPr>
      <t>2</t>
    </r>
  </si>
  <si>
    <t>Wykonanie nawierzchni z betonu asfaltowego AC 16W, warstwa wiążąca,  gr. w-wy 4 cm na zjazdach indywidualnych i publicznych.
&lt; F=30,00m2&gt; - wg. Tabeli nr 1</t>
  </si>
  <si>
    <t>pozycja ok obliczyć ilości</t>
  </si>
  <si>
    <t>to raczej out</t>
  </si>
  <si>
    <t>Udrożnienie urządzeń odwadniających ul. Wyszyńskiego poprzez profilowanie skarp i odmulenie dna rowu otwartego.
&lt;L=34,0m&gt; wg. Rys. Plan Sytuacyjny</t>
  </si>
  <si>
    <t>Ustawienie krawężników betonowych o wymiarach 15x30 cm  (odsłonięcie 4cm i 12cm) na podsypce cementowo-piaskowej 1:4 o grubości 5cm i na  ławie betonowej C12/15 gr. 15cm z oporem o V=0,082 m3/mb
&lt;L=98,0m&gt;  wg. Rys. Plan Sytuacyjny</t>
  </si>
  <si>
    <t>Wykonanie chodnika "na szlaku" z kostki brukowej betonowej szarej o grubości 6cm na podsypce cementowo - piaskowej 1:4 o grubości 3cm, spoiny wypeł. piaskiem - w tym wyznaczenie opaski bezpieczeństwa 2- rzędami kostki kolorowej (np. czerwonej) na długości chodnika.
&lt;F=146,50m2&gt;</t>
  </si>
  <si>
    <t>ok</t>
  </si>
  <si>
    <t>Ustawienie obrzeży betonowych o wymiarach 30x8cm na podsypce cementowo-piaskowej 1:4 o grubości 3cm i ławie betonowej C12/15, gr. 10cm o V=0,024m3/m
&lt;L= 108,40m&gt;</t>
  </si>
  <si>
    <t>Wymiana uszkodzonych i regulacja wysokościowa (dostosowanie do poziomu projektowanej nawierzchni zjazdów i chodnika istniejących ram i pokryw studni telekomunkacyjnych). Koszt opracowania niezbędnych projektów technologicznych oraz koszty ewentualnych nadzorów ze strony Właściciela sieci w gestii Wykonawcy.
&lt;N= 10,00szt.&gt;</t>
  </si>
  <si>
    <t>06.01.01.66</t>
  </si>
  <si>
    <t>Umocnienie dna rowów i ścieków płytami prefabrykowanymi ażurowymi</t>
  </si>
  <si>
    <t>Wykonanie wykopów mechanicznie w gr. kat. I-V z transportem urobku na odkład. Nadmiar gruntu (grunt nieprzydatny) przechodzi na własność Wykonawcy. Wykonawca zapewni transport i utylizację materiału.
&lt;V=150,10m3&gt; - wg Rys. Plan sytuacyjny i Przekroje typowe</t>
  </si>
  <si>
    <t>Formowanie i zagęszczanie nasypów z gruntu dostarczonego. Wykonawca pozyska grunt własnym staraniem i na własny koszt.
&lt;V=202,64m3&gt; - wg Rys. Plan sytuacyjny i Przekroje typowe</t>
  </si>
  <si>
    <t>Wykonanie w-wy podbudowy z kruszywa łamanego 0/63mm stabilizowanego mechanicznie o gr. 15cm na chodniku na szlaku (poza zjazdami).
&lt;F= 146,50m2&gt;  - wg. Rys. Plan Sytuacyjny i Przekroje Typowe</t>
  </si>
  <si>
    <t>Wykonanie koryta mechanicznie wraz z profilowaniem i zagęszczaniem podłoża w gr. kat I-VI, głębok. koryta ponad 20cm</t>
  </si>
  <si>
    <r>
      <t>m</t>
    </r>
    <r>
      <rPr>
        <b/>
        <vertAlign val="superscript"/>
        <sz val="10"/>
        <color indexed="8"/>
        <rFont val="Times New Roman"/>
        <family val="1"/>
      </rPr>
      <t>2</t>
    </r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</si>
  <si>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</si>
  <si>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Rozebranie nawierzchni z kruszywa, gr. w-wy około 10 cm</t>
  </si>
  <si>
    <t>Rozebranie nawierzchni zjazdów z kruszywa, śr. gr. w-wy około 10cm. 
&lt;F=191,95m2&gt; - mieszanka grunt/kruszywo - wg Tabeli nr 1</t>
  </si>
  <si>
    <t>Materiał z rozbiórki przechodzi na własność Wykonawcy. Transport materiału przez Wykonawcę na plac składowania.
&lt;V=23,10m2 x0,105m =2,31m3&gt;</t>
  </si>
  <si>
    <t>08.05.01</t>
  </si>
  <si>
    <t>Ścieki uliczne</t>
  </si>
  <si>
    <t>08.05.01.11</t>
  </si>
  <si>
    <t>K</t>
  </si>
  <si>
    <t>SST 10.00.00
CPV 45233000-9</t>
  </si>
  <si>
    <r>
      <t xml:space="preserve">INNE ROBOTY
</t>
    </r>
    <r>
      <rPr>
        <sz val="10"/>
        <rFont val="Times New Roman"/>
        <family val="1"/>
      </rPr>
      <t>Roboty w zakresie konstruowania, fundamentowania oraz wykonywania nawierzchni dróg</t>
    </r>
  </si>
  <si>
    <t>10.01.01</t>
  </si>
  <si>
    <t>10.01.01.10</t>
  </si>
  <si>
    <t>m3</t>
  </si>
  <si>
    <t>Wykonanie warstwy z piasku stabilizowanej mechanicznie na zjeździe indywidualnym w km 0+354,45 str. lewa gr. w-wy po zagęszczeniu 15cm.
&lt;Razem: F=20,50m2&gt;</t>
  </si>
  <si>
    <t xml:space="preserve">Wykonanie koryta pod konstrukcję na zjeździe indywidualnym w km 0+354,45 str. lewa. Srednia głębokość koryta 28cm.
&lt;F=20,50m2&gt; </t>
  </si>
  <si>
    <r>
      <t>m</t>
    </r>
    <r>
      <rPr>
        <b/>
        <vertAlign val="superscript"/>
        <sz val="10"/>
        <color indexed="10"/>
        <rFont val="Times New Roman"/>
        <family val="1"/>
      </rPr>
      <t>2</t>
    </r>
  </si>
  <si>
    <r>
      <t>m</t>
    </r>
    <r>
      <rPr>
        <vertAlign val="superscript"/>
        <sz val="10"/>
        <color indexed="10"/>
        <rFont val="Times New Roman"/>
        <family val="1"/>
      </rPr>
      <t>2</t>
    </r>
  </si>
  <si>
    <t>Wykonanie chodnika na zjazdach z kostki brukowej betonowej kolorowej (np. czerwonej) o grubości 8cm na podsypce cementowo - piaskowej 1:4 o grubości 3cm, spoiny wypeł. piaskiem.
&lt;F=25,00m2&gt; wg Rys. Plan Sytuacyjny i Tabeli nr 1</t>
  </si>
  <si>
    <t>Wykonanie podbudowy z kruszywa naturalnego stabilizowanego cementem Rm=1,5MPa, o gr. w-wy 15cm na chodniku dla pieszych na zjazdach oraz na zjeździe indywidulanym w km 0+354,45 str. lewa.
&lt;F=45,00m2&gt; - wg. Rys. Plan Sytuacyjny i Przekroje Typowe</t>
  </si>
  <si>
    <t>Rozebranie nawierzchni (w-wa ścieralna ) z mieszanek mineralno - bitumicznych gr. w-wy około 5cm na zjazdach.
&lt;F=66,52m2 &gt; - wg Tabeli nr 1</t>
  </si>
  <si>
    <t>Materiał z rozbiórki przechodzi na własność Wykonawcy.Transport i utylizacja materiału przez Wykonawcę.
&lt;V=66,52m2 x0,05m =3,33m3&gt;</t>
  </si>
  <si>
    <t>Humusowanie z obsianiem skarp przy grubości humusu 10 cm. Humus uprzednio usunięty i zmagazynowany przez Wykonawcę.  Wykonawca pozyska  nasiona traw własnym staraniem i na własny koszt.
&lt;F=252,00m2&gt; - wg. Rys. Plan Sytuacyjny i Przekroje Typowe</t>
  </si>
  <si>
    <t>Plantowanie powierzchni (obrobienie na czysto) skarp wykonywanych ręcznie w gruncie nieskalistym.
&lt;F=252,00m2&gt; - w ciągu DP</t>
  </si>
  <si>
    <t>Umocnienie dna i skarp rowów płytami ażurowymi 60x40x8cm na podsypce piaskowo-cementowej 1:4 o gr. 10 cm (otwory wypełnione zaprawą)
&lt;F=13,65m2&gt; - wg Rys. Plan Sytuacyjny</t>
  </si>
  <si>
    <t>06.03.01</t>
  </si>
  <si>
    <t>Ścinanie i uzupełnianie poboczy</t>
  </si>
  <si>
    <t>06.03.01.32</t>
  </si>
  <si>
    <t>Uzupełnienie poboczy wysiewką kamienną o gr. w-wy 15 cm</t>
  </si>
  <si>
    <t>Ułożenie ścieków z prefabrykowanych elementów betonowych typu "korytko muldowe" o wymiarach 60x50x15cm</t>
  </si>
  <si>
    <t xml:space="preserve">Wykonanie ścieku z pref. elementów betonowych typu "korytko muldowe" o wym. 60x50x15 cm na podsypce cementowo-piaskowej 1:4 o grubości 3cm na ławie z betonu C12/15 o v=0,15 m3/mb. Ściek w poboczu po lewej stronie drogi. 
&lt;L=56,00m&gt; </t>
  </si>
  <si>
    <t>Konstrukcje oporowe</t>
  </si>
  <si>
    <t>Wykonanie stalowego materaca gabionowego wypełnionego kruszywem kamiennym gr 30 cm (część pozioma) oraz 17 cm (materac na skarpie) wraz z kotwieniem. Zagłębienie cześci poziomej ok 15cm w podłożu na fundamencie z kruszywa łamanego 0/63 stabilizowanego mechanicznie gr. 30cm
&lt;V=23,05 m3&gt;</t>
  </si>
  <si>
    <t>PRZEBUDOWA KABLOWYCH LINII ENERGETYCZNYCH - ZABEZPIECZENIE URZĄDZEŃ ENERGETYCZNYCH (ROBOTY ELEKTRYCZNE)</t>
  </si>
  <si>
    <t>SST 01.03.01
CPV 45231400-9</t>
  </si>
  <si>
    <t>Zabezpieczenie podziemnych kablowych linii energetycznych</t>
  </si>
  <si>
    <t>01.03.02</t>
  </si>
  <si>
    <t>Zabezpieczenie kablowych linii energetycznych</t>
  </si>
  <si>
    <t>01.03.02.11</t>
  </si>
  <si>
    <t>Zabezpieczenie doziemnego okablowania energetycznego średniego napięcia w rejonie konstrukcji oporowej z koszy siatkowow - kamiennych (gabionów)Obejmuje roboty ziemne, ułożenie zarurowania wraz z podsypką, obsypką, niezbędnymi pomiarami oraz zagęszczeniem. Obejmuje również opłatę za nadzór - zgodnie z warunkami wydanymi przez zarządcę sieci.
&lt;L=22 m - Arot f160&gt;- wg Rys. Plan Sytuacyjny</t>
  </si>
  <si>
    <t>Zabezpieczenie doziemnego okablowania energetycznego eS</t>
  </si>
  <si>
    <t>PRZEBUDOWA PODZIEMNYCH LINII GAZOWYCH PRZY PRZEBUDOWIE I BUDOWIE DRÓG
Roboty budowlane w zakresie budowy i przebudowy gazociągów</t>
  </si>
  <si>
    <t>SST 01.03.05
CPV 45231220-3</t>
  </si>
  <si>
    <t>PRZEBUDOWA PODZIEMNYCH LINII GAZOWYCH 
- BRANŻA SANITARNA -</t>
  </si>
  <si>
    <t>01.03.05.20</t>
  </si>
  <si>
    <t>Przebudowa i zabezpieczenie istniejącego gazociągu</t>
  </si>
  <si>
    <t>Roboty ziemne</t>
  </si>
  <si>
    <t>KNR 2-01 0201-02
KNR 2-01 0310-02
KNNR 11 0501-05</t>
  </si>
  <si>
    <t>KNR-W 2-19 0306-06
01.03.05.20</t>
  </si>
  <si>
    <t xml:space="preserve">Roboty montażowe </t>
  </si>
  <si>
    <t>KNR-W 2-190306-06</t>
  </si>
  <si>
    <t>KNR 2-28 0405-01</t>
  </si>
  <si>
    <t>KNR-W 2-19 0301-06
KNR 2-19 0220-02
Kalkulacja indywidualna
KNR 2-19 0219-01</t>
  </si>
  <si>
    <t>Zamknięcie końcówek rur ochronnych manszetami
&lt;N=2,0kpl.&gt;</t>
  </si>
  <si>
    <t>Próba szczelności, odbiory i inwentaryzacja
&lt;N=1,0kpl&gt;</t>
  </si>
  <si>
    <t>KNR 218/408/4 (1)</t>
  </si>
  <si>
    <t>Przekroczenie drogi powiatowej przewiertem sterowanym</t>
  </si>
  <si>
    <t>KNR 1.4.1</t>
  </si>
  <si>
    <t>Demontaż rur stalowych DN10 - istniejący odcinek gazociągu S.C. przeiwdiznay do likwidacji
&lt;L=16,0m&gt;</t>
  </si>
  <si>
    <t>Oznakowanie trasy gazociągu ułożonego w ziemi taśmą z tworzywa sztucznego z wkładką miedzi
&lt;L=16,0m&gt;</t>
  </si>
  <si>
    <t>Przewierty sterowany maszyną do wierceń poziomych, długości 16·m, grunt kategorii III-IV.
&lt;Razem L=16,00m&gt;</t>
  </si>
  <si>
    <t>Połączenia rur z polietylenu za pomocą kształtek elektrooporowych
&lt;N=1,0kpl.&gt;</t>
  </si>
  <si>
    <t>Montaż rurociągów z rur polietylenowych PE100, SDR11 o śr. nominalnej 110x6,3 mm.
&lt;L=16,0m&gt;</t>
  </si>
  <si>
    <t>01.03.05</t>
  </si>
  <si>
    <t>Zabezpieczenie podziemnych linii wodociągowych</t>
  </si>
  <si>
    <t>Regulacja wysokościowa, dostosowanie do poziomu projektowanej nawierzchni  chodnika istniejącej armatury wodociągowej min. trzpieni i skrzynek zasów oraz hydrantów. Koszt opracowania niezbędnych projektów technologicznych oraz koszty ewentualnych nadzorów ze strony Właściciela sieci w gestii Wykonawcy.
&lt;N= 2,00szt.&gt;</t>
  </si>
  <si>
    <t>Regulacja naziemnej armatury wodociągowej</t>
  </si>
  <si>
    <t>Roboty ziemne, wykonanie i zasypanie (po zakończeniu przebudowy), wykopów liniowych (szerokość dna wykopu do 0,6m i głębokość rowu ponad 1,5m) w gruncie kategorii IV wraz z przygotowaniem podłoża i obsypki z kruszyw naturalnych np. piasek. 
&lt;Razem V=14,04m3&gt; - grunt z wykopu do cześciowego późniejszego wykorzystania</t>
  </si>
  <si>
    <t>Demontaż istniejacego przyłącza wodociągowego "wA32"
&lt;L=10,0m&gt;</t>
  </si>
  <si>
    <t>Zakup i montaż rur ochronnych (osłonowe) z PE100, SDR17,6 o śr. nominalnej 90x5,4 mm z płozami i manszetami
&lt;L=10,0m&gt;</t>
  </si>
  <si>
    <t>Montaż rurociągów z rur polietylenowych PE100, SDR11 o śr. nominalnej 40x3,7 mm.
&lt;L=10,0m&gt;</t>
  </si>
  <si>
    <t>Przejście stal/PE Dn100/fi 100 (połaczenie z istniejącym gazociągiem)
&lt;N=2,0szt.&gt;</t>
  </si>
  <si>
    <t>wykonanie połaczenia z istniejąca rurą przewodową
&lt;N=2,0szt.l&gt;</t>
  </si>
  <si>
    <t>Oznakowanie trasy wodociągu ułożonego w ziemi taśmą z tworzywa sztucznego z wkładką stalową
&lt;L=10,0m&gt;</t>
  </si>
  <si>
    <t>Zakup i montaż rur ochronnych (osłonowe) z PE100, SDR17,6 o śr. nominalnej 160x9,1 mm z płozami i manszetami
&lt;L=15,0m&gt;</t>
  </si>
  <si>
    <t>Uzupełnienie poboczy wysiewką kamienną warstwa gr. 15cm po zagęszczeniu.
&lt;F=69,50 m2&gt; - wg Rys. Palan Sytuacyjny i Przekroje Typowe</t>
  </si>
  <si>
    <t>07.06.01</t>
  </si>
  <si>
    <t>Ogrodzenia dróg</t>
  </si>
  <si>
    <t>07.06.01.11</t>
  </si>
  <si>
    <t>Ustawienie ogrodzenia z siatki</t>
  </si>
  <si>
    <t>Ustawienie ogrodzenia o wysokosci około 1,5m z siatki stalowej ocynkowanej i powlekanej na słupkach stalowych oraz podwalinie betonowej, słupki stalowe z fundamentem betonowym. Na odcinku wystepowania konstrukcji zabezpieczajęcej skarpę z grodzic stlaowych należy przewidzieć mocowanie słupków ogrodzenia bezpośrednio do żelbetowego oczepu. Wykonawca robót uzgodni szczegóły z Inwestorem i właścicielem nieruchomości. Odtworzenie ogrodzenie posesji nr 36 na działkach nr ewid. 869, 870, 871/1
&lt;L=70,00m&gt;  - wg Rys. Plan Sytuacyjny</t>
  </si>
  <si>
    <t>07.06.01.21</t>
  </si>
  <si>
    <t xml:space="preserve">Ustawienie furtek </t>
  </si>
  <si>
    <t>Wykonanie i ustawienie (montaz) nowej furtki w ciagu ogrodzenia na działce nr ewid. dz. nr 870. Nowa furtka z kształtowników stalowych. Wykonawca robót uzgodni szczegóły rozwiązań z Inwestorem i właścicielem nieruchomości.
&lt;N=1,0szt&gt;  - wg Rys. Plan Sytuacyjny</t>
  </si>
  <si>
    <t>07.06.01.22</t>
  </si>
  <si>
    <t>Ustawienie bram otwieranych</t>
  </si>
  <si>
    <t>Wykonanie i ustawienie (montaz) nowych bram w ciągu ogrodzenia na działkach nr ewid. 869 i 870. Nowe bramy szer. 4,5m z kształtowników stalowych.Wykonawca robót uzgodni szczegóły rozwiązań z Inwestorem i właścicielem nieruchomości
&lt;N=2,0szt&gt; - wg Rys. Plan Sytuacyjny</t>
  </si>
  <si>
    <t>08.05.06a</t>
  </si>
  <si>
    <t>Ściek uliczny z betonowej kostki brukowej</t>
  </si>
  <si>
    <t>Ułożenie ścieku z dwóch rzędów kostki brukowej betonowej</t>
  </si>
  <si>
    <t>Wykonanie ścieku przykrawężnikowego z kostki brukowej betonowej prostokątnej 8x10x20cm na podsypce cementowo- piaskowej gr. 3cm i ławie betonowej z betonu C16/20 o śr. gr. 25cm
&lt;F=97,00m&gt; - wg Rys. Plan sytuacyjny</t>
  </si>
  <si>
    <t>M.11.01.07</t>
  </si>
  <si>
    <t>Ścianki szczelne</t>
  </si>
  <si>
    <t>Wykonanie ścianek szczelnych z grodzic stalowych</t>
  </si>
  <si>
    <t>M 29.54.05.35</t>
  </si>
  <si>
    <t xml:space="preserve">Wykonanie narzutu kamiennego </t>
  </si>
  <si>
    <t>Wykonanie narzutu kamiennego - umocnienie wylotów przykanalików na skarpę</t>
  </si>
  <si>
    <t>Wykonanie nawierzchni z betonu asfaltowego AC 11S, warstwa ścieralna, gr. w-wy 
4 cm na zjazdach indywidualnych i publicznych wraz z przygotowaniem podłoza porpzez oczyszczenie i skropienie emulsją asfaltową.
&lt;F=43,70m2&gt; - wg. Tabeli nr 1 i Rys. Plan Sytuacyjny</t>
  </si>
  <si>
    <t>04.03.01
05.03.05.C</t>
  </si>
  <si>
    <t>Rozebranie istniejącego zdegradowanego ogrodzenia z siatki stalowej na słupkach wraz podwaliną betonową oraz jego odtworzenie.
Bramy 2szt szer 5,0m
Furkta 1szt. szer 1,0m
Ogrodzenie długości 80,0m
&lt;Razem: L=80,0m&gt; wg. Rys. Plan Sytuacyjny</t>
  </si>
  <si>
    <t>Rozebranie podbudowy z kruszywa/istn konstrukcji chodnika o gr. w-wy około 25 cm - istniejąca konstrukcja na chodniku i zjazdach indywidualnych.
&lt; F=190,12m2&gt; - wg Rys. Plan Sytuacyjny</t>
  </si>
  <si>
    <t>Rozbiórka istniejących przepustów rurowych pod zjazdami wraz z podsypką, obsypką, warstwami konstrukcji nawierzchni zjazdu, ściankami czołowymi i fundamentem. Materiał z rozbiórki stanowi własność Wykonawcy. Materiał przydatny do ponownego wbudowania po akceptacji Inspektora Nadzoru. Utylizacja materiału nieprzydatnego w gestii Wykonawcy.
&lt;N=4,0szt.&gt; - łączna ilość ścianek czołowych do rozbiórki
&lt;L=15,80&gt; - łączna długość przepustów przewidzianych do rozbiórki</t>
  </si>
  <si>
    <t>06.02.01</t>
  </si>
  <si>
    <t>Przepusty pod zjazdami</t>
  </si>
  <si>
    <t>06.02.01.14</t>
  </si>
  <si>
    <t>Na wykonanie 1 mb przepustu składa się:</t>
  </si>
  <si>
    <t>&lt; wykop: przepusty pod zjazdami średnio: 1,2m x 0,3m x 1m &gt;</t>
  </si>
  <si>
    <t>&lt; wykonanie podsypki piaskowo-żwirowej- średnia grubość podsypki 20 cm średnio:1,2m x 0,2m x 1m&gt;</t>
  </si>
  <si>
    <r>
      <t>Wykonanie narzutu kamiennego na skarpie na wylotach przykanalików, formowany ręcznie z kamienia ciężkiego o średnicy około 50cm (</t>
    </r>
    <r>
      <rPr>
        <sz val="10"/>
        <rFont val="Czcionka tekstu podstawowego"/>
        <family val="0"/>
      </rPr>
      <t>ø</t>
    </r>
    <r>
      <rPr>
        <sz val="10"/>
        <rFont val="Times New Roman"/>
        <family val="1"/>
      </rPr>
      <t>30-50cm) na warstwie betonu C8/10 gr 15cm, wraz z wypełnieniem przerw pomiędzy kamieniami zaprawą cementową. 
&lt;V=23,00m2&gt;  - wg rys. Plan Sytuacyjny</t>
    </r>
  </si>
  <si>
    <t>Wykonanie ubezpieczenia skarpy korpusu drogi koszami kamienno-siatkowymi (gabiony)</t>
  </si>
  <si>
    <t>Wbijanie ścianek szczelnych stalowych z grodzić typu  Larssen 600 (lub równoważnych) wibromłotem. Głębokość wbicia do 5m, grunt kat IV. Przycięcie górnej krawędzi ścianki stalowej i zwieńczenie oczepem żelbeowtym o wymiawrach 30x35cm z betonu C30/37. 
&lt;L=19,0m&gt; wg. Rys. Plan sytuacyjny, Przekroje Typowe i Szczegóły</t>
  </si>
  <si>
    <t>Przepusty z rur polietylenowych pod zjazdami o średnicy wew. 40 cm</t>
  </si>
  <si>
    <t>&lt; wykonanie zasypki  przepustu  do w-w konstrukcji jezdni, średnio:(1,0*1,20-(3,14*0,25*0,25)&gt;</t>
  </si>
  <si>
    <t>Wykonanie przepustów pod zjazdami z rur HDPE o średnicy wew. 40cm.
&lt;L=18,00m&gt; - wg Rys. Plan Sytuacyjny</t>
  </si>
  <si>
    <t>03.01.01.60</t>
  </si>
  <si>
    <t>Wykonanie ścianek czołowych przepustów</t>
  </si>
  <si>
    <t>Wykonanie ścianek czołowych z betonu C16/20 na wylocie i wylocie przebudowywanych przepustów pod zjazdami indywidualnymi i publicznymi (str. lewa) z użyciem deskowania, ścianki zbrojone dwoma rzędami siatki stalowej żebrowanej (A-III) fi 10mm co 20cm.  Wykonanie fundamentów ścianek, izolacja R+2P. 
&lt;N=4,00szt&gt; - Według Rys. Plan sytuacyjny</t>
  </si>
  <si>
    <t>PRZEBUDOWA SIECI WODOCIĄGOWEJ  (ROBOTY WODNO-KANALIZACYJNE) 
- BRANŻA SANITARNA -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</si>
  <si>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</si>
  <si>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</si>
  <si>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</si>
  <si>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</si>
  <si>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</si>
  <si>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</si>
  <si>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</si>
  <si>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</si>
  <si>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</si>
  <si>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</si>
  <si>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</si>
  <si>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</si>
  <si>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</si>
  <si>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</si>
  <si>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</si>
  <si>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</si>
  <si>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</si>
  <si>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</si>
  <si>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</si>
  <si>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</si>
  <si>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</si>
  <si>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</si>
  <si>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</si>
  <si>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</si>
  <si>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</si>
  <si>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</si>
  <si>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</si>
  <si>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08.05.06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</si>
  <si>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</si>
  <si>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</si>
  <si>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</si>
  <si>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</si>
  <si>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</si>
  <si>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</si>
  <si>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</si>
  <si>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</si>
  <si>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</si>
  <si>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J</t>
  </si>
  <si>
    <t>M</t>
  </si>
  <si>
    <t>V</t>
  </si>
  <si>
    <t>Wartość</t>
  </si>
  <si>
    <t>D.01.03.05</t>
  </si>
  <si>
    <t>RAZEM [J]</t>
  </si>
  <si>
    <t>PRZEBUDOWA CHODNIKA DLA PIESZYCH  W CIĄGU DP (ROBOTY DROGOWE)</t>
  </si>
  <si>
    <t>OGÓŁEM [III]: ROBOTY ELEKTRYCZNE</t>
  </si>
  <si>
    <t>RAZEM [K]</t>
  </si>
  <si>
    <t>RAZEM [L]</t>
  </si>
  <si>
    <t>RAZEM [M]</t>
  </si>
  <si>
    <t>OGÓŁEM [IV]: ROBOTY WODNO-KANALZIACYJNE</t>
  </si>
  <si>
    <t>PRZEBUDOWA CHODNIKA DLA PIESZYCH 
(ROBOTY DROGOWE)</t>
  </si>
  <si>
    <t>BRANŻA ENERGETYCZNA</t>
  </si>
  <si>
    <t>OGÓŁEM [V]: BRANŻA SANITARNA</t>
  </si>
  <si>
    <t>INNE ROBOTY</t>
  </si>
  <si>
    <t>ZABEZPIECZENIE DOZIEMNYCH KABLI ENERGETYCZNYCH</t>
  </si>
  <si>
    <t>Przebudowa linii telekomuniakcyjnych Orange</t>
  </si>
  <si>
    <t>Wymiana ramy i pokrywy studni na typ ciężki, dostosowanie rzędnej ram i studni do rzędnej nawierzchni chodnika</t>
  </si>
  <si>
    <t>KNR/TPSA</t>
  </si>
  <si>
    <t>OGÓŁEM [IV]: ROBOTY TELETECHNICZNE</t>
  </si>
  <si>
    <t>N</t>
  </si>
  <si>
    <t>RAZEM [N]</t>
  </si>
  <si>
    <t>ROBOTY BUDOWLANE W ZAKRESIE SIECI GAZOWYCH</t>
  </si>
  <si>
    <t>46</t>
  </si>
  <si>
    <t>Przewiert sterowany maszyną do wierceń poziomych, długości 16·m, grunt kategorii III-IV.
&lt;Razem L=16,00m&gt;</t>
  </si>
  <si>
    <t xml:space="preserve">WARTOŚĆ KOSZTORYSOWA ROBÓT NETTO [I+II+III+IV+V] </t>
  </si>
  <si>
    <r>
      <t>RODZAJ OPRACOWANIA</t>
    </r>
    <r>
      <rPr>
        <i/>
        <sz val="12"/>
        <rFont val="Arial"/>
        <family val="2"/>
      </rPr>
      <t>:</t>
    </r>
  </si>
  <si>
    <t>NAZWA ZADANIA:</t>
  </si>
  <si>
    <t>OBIEKTY:</t>
  </si>
  <si>
    <t>ADRES OBIEKTÓW:</t>
  </si>
  <si>
    <t>GMINA ROPCZYCE</t>
  </si>
  <si>
    <t>POWIAT ROPCZYCKO - SĘDZISZOWSKI</t>
  </si>
  <si>
    <t>DZIAŁKI NR EWID.:</t>
  </si>
  <si>
    <t>BRANŻA:</t>
  </si>
  <si>
    <t>DROGOWA</t>
  </si>
  <si>
    <t>CZĘŚĆ</t>
  </si>
  <si>
    <t>INWESTOR:</t>
  </si>
  <si>
    <t>39 - 100 ROPCZYCE</t>
  </si>
  <si>
    <t>AUTORZY OPRACOWANIA:</t>
  </si>
  <si>
    <t>Lp.</t>
  </si>
  <si>
    <t>Funkcja/</t>
  </si>
  <si>
    <t>Imię i Nazwisko</t>
  </si>
  <si>
    <t>Data</t>
  </si>
  <si>
    <t>Podpis</t>
  </si>
  <si>
    <t>Nr uprawnień</t>
  </si>
  <si>
    <t>Opracował</t>
  </si>
  <si>
    <t>mgr inż. Roman Charchut</t>
  </si>
  <si>
    <t>01.2018 r.</t>
  </si>
  <si>
    <t>Drogowa</t>
  </si>
  <si>
    <t>mgr inż. Barbara Kawalec</t>
  </si>
  <si>
    <t>PROJEKT WYKONAWCZY</t>
  </si>
  <si>
    <t xml:space="preserve">DROGA POWIATOWA 1358R UL. WYSZYŃSKIEGO </t>
  </si>
  <si>
    <t xml:space="preserve">M. ROPCZYCE </t>
  </si>
  <si>
    <r>
      <t xml:space="preserve">DZ. NR EWID. 863, </t>
    </r>
    <r>
      <rPr>
        <b/>
        <sz val="12"/>
        <rFont val="Arial"/>
        <family val="2"/>
      </rPr>
      <t>868, 869, 870, 871/1 OBRĘB: 0001 - ROPCZYCE</t>
    </r>
  </si>
  <si>
    <t>WOJEWÓDZTWO PODKARPACKIE</t>
  </si>
  <si>
    <t>POWIAT ROPCZYCKO-SĘDZISZOWSKI</t>
  </si>
  <si>
    <t>UL. KONOPNICKIEJ 5</t>
  </si>
  <si>
    <t>PRZEBUDOWA KABLOWYCH LINII ENERGETYCZNYCH - ZABEZPIECZENIE URZĄDZEŃ ENERGETYCZNYCH
 (ROBOTY ELEKTRYCZNE)</t>
  </si>
  <si>
    <t>ZABEZPIECZENIE URZĄDZEŃ TELETECHNICZNYCH 
(ROBOTY TELEKOMUNIKACYJNE) 
- BRANŻA TELETECHNICZNA-</t>
  </si>
  <si>
    <t>PRZEBUDOWA SIECI WODOCIĄGOWEJ  
(ROBOTY WODNO-KANALIZACYJNE) 
- BRANŻA SANITARNA -</t>
  </si>
  <si>
    <t xml:space="preserve">Wykonanie ścieku z pref. elementów betonowych typu "korytko muldowe" o wym. 60x50x15 cm na podsypce cementowo-piaskowej 1:4 o grubości 3cm na ławie z betonu C12/15 o v=0,10 m3/mb. Ściek w poboczu po lewej stronie drogi. 
&lt;L=56,00m&gt; </t>
  </si>
  <si>
    <t>Wykonanie zabezpieczenia skarpy w formie konstrukcji oporowej z ścianek szczelnych - grodzić stalowych typu  Larssen 600 (lub równoważnych). Głębokość pogrążenia do 5m, grunt kat IV. Przycięcie górnej krawędzi ścianki stalowej i zwieńczenie oczepem żelbeowtym o wymiawrach 30x35cm z betonu C30/37. 
&lt;L=19,0m&gt; wg. Rys. Plan sytuacyjny, Przekroje Typowe i Szczegóły</t>
  </si>
  <si>
    <t>Umocnienie skarp narzutem kamiennym</t>
  </si>
  <si>
    <t>M.11.01.07.12</t>
  </si>
  <si>
    <t>06.04.01.20</t>
  </si>
  <si>
    <t>1.2. PRZEDMIAR ROBÓT
KOSZTORYS OFERTOWY</t>
  </si>
  <si>
    <t>Rzeszów, wrzesień 2017 r.</t>
  </si>
  <si>
    <t>PRZEBUDOWA CHODNIKA DLA PIESZYCH WRAZ Z PRZEBUDOWĄ I ZABEZPIECZENIEM SKARPY W CIĄGU ULICY POWIATOWEJ 
NR 1358R UL. WYSZYŃSKIEGO W ROPCZYCACH OD KM 0+347,25 DO KM 0+444,50</t>
  </si>
  <si>
    <t>KOSZTORYS OFERTOWY - ZAŁĄCZNIK 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</si>
</sst>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\.##\.##\.##\."/>
    <numFmt numFmtId="165" formatCode="0.0"/>
    <numFmt numFmtId="166" formatCode="##\.##\.##\.00\."/>
    <numFmt numFmtId="167" formatCode="dd\.mm\.yyyy"/>
    <numFmt numFmtId="168" formatCode="#,##0.00\ _z_ł"/>
    <numFmt numFmtId="169" formatCode="00\-000"/>
  </numFmts>
  <fonts count="13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sz val="10"/>
      <name val="MS Sans Serif"/>
      <family val="2"/>
    </font>
    <font>
      <b/>
      <sz val="11"/>
      <name val="Times New Roman"/>
      <family val="1"/>
    </font>
    <font>
      <sz val="9"/>
      <color indexed="48"/>
      <name val="Times New Roman"/>
      <family val="1"/>
    </font>
    <font>
      <sz val="8"/>
      <color indexed="48"/>
      <name val="Times New Roman"/>
      <family val="1"/>
    </font>
    <font>
      <b/>
      <i/>
      <sz val="28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i/>
      <sz val="1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24"/>
      <name val="Arial"/>
      <family val="2"/>
    </font>
    <font>
      <b/>
      <i/>
      <u val="single"/>
      <sz val="12"/>
      <name val="Arial"/>
      <family val="2"/>
    </font>
    <font>
      <b/>
      <i/>
      <u val="single"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Czcionka tekstu podstawowego"/>
      <family val="0"/>
    </font>
    <font>
      <b/>
      <sz val="12"/>
      <name val="Arial CE"/>
      <family val="0"/>
    </font>
    <font>
      <i/>
      <sz val="10"/>
      <name val="MS Sans Serif"/>
      <family val="2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10"/>
      <name val="Czcionka tekstu podstawowego"/>
      <family val="0"/>
    </font>
    <font>
      <i/>
      <sz val="10"/>
      <name val="Czcionka tekstu podstawowego"/>
      <family val="0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u val="single"/>
      <sz val="10"/>
      <name val="Arial CE"/>
      <family val="0"/>
    </font>
    <font>
      <sz val="9"/>
      <name val="Arial CE"/>
      <family val="0"/>
    </font>
    <font>
      <vertAlign val="superscript"/>
      <sz val="9"/>
      <name val="Arial CE"/>
      <family val="0"/>
    </font>
    <font>
      <sz val="11"/>
      <name val="Arial CE"/>
      <family val="0"/>
    </font>
    <font>
      <i/>
      <u val="single"/>
      <sz val="10"/>
      <name val="Arial CE"/>
      <family val="0"/>
    </font>
    <font>
      <sz val="16"/>
      <name val="Arial CE"/>
      <family val="2"/>
    </font>
    <font>
      <sz val="10"/>
      <name val="Symbol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sz val="10"/>
      <color indexed="10"/>
      <name val="Czcionka tekstu podstawowego"/>
      <family val="0"/>
    </font>
    <font>
      <i/>
      <vertAlign val="superscript"/>
      <sz val="10"/>
      <color indexed="10"/>
      <name val="Times New Roman"/>
      <family val="1"/>
    </font>
    <font>
      <b/>
      <vertAlign val="super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 CE"/>
      <family val="0"/>
    </font>
    <font>
      <sz val="10"/>
      <color indexed="55"/>
      <name val="Arial CE"/>
      <family val="0"/>
    </font>
    <font>
      <b/>
      <sz val="10"/>
      <color indexed="55"/>
      <name val="Arial CE"/>
      <family val="0"/>
    </font>
    <font>
      <sz val="10"/>
      <color indexed="10"/>
      <name val="Arial CE"/>
      <family val="0"/>
    </font>
    <font>
      <i/>
      <sz val="10"/>
      <color indexed="10"/>
      <name val="MS Sans Serif"/>
      <family val="2"/>
    </font>
    <font>
      <i/>
      <sz val="10"/>
      <color indexed="10"/>
      <name val="Times New Roman"/>
      <family val="1"/>
    </font>
    <font>
      <b/>
      <sz val="12"/>
      <color indexed="10"/>
      <name val="Arial CE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 CE"/>
      <family val="0"/>
    </font>
    <font>
      <sz val="10"/>
      <color indexed="36"/>
      <name val="Times New Roman"/>
      <family val="1"/>
    </font>
    <font>
      <b/>
      <i/>
      <sz val="10"/>
      <name val="Times New Roman"/>
      <family val="1"/>
    </font>
    <font>
      <b/>
      <sz val="10"/>
      <color indexed="36"/>
      <name val="Times New Roman"/>
      <family val="1"/>
    </font>
    <font>
      <i/>
      <sz val="9"/>
      <name val="Arial"/>
      <family val="2"/>
    </font>
    <font>
      <b/>
      <i/>
      <sz val="18"/>
      <color indexed="30"/>
      <name val="Arial"/>
      <family val="2"/>
    </font>
    <font>
      <b/>
      <i/>
      <sz val="12"/>
      <color indexed="8"/>
      <name val="Arial"/>
      <family val="2"/>
    </font>
    <font>
      <b/>
      <sz val="16"/>
      <color indexed="30"/>
      <name val="Arial CE"/>
      <family val="0"/>
    </font>
    <font>
      <b/>
      <i/>
      <sz val="9"/>
      <name val="Arial"/>
      <family val="2"/>
    </font>
    <font>
      <i/>
      <sz val="12"/>
      <color indexed="63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 CE"/>
      <family val="0"/>
    </font>
    <font>
      <sz val="10"/>
      <color theme="0" tint="-0.24997000396251678"/>
      <name val="Arial CE"/>
      <family val="0"/>
    </font>
    <font>
      <b/>
      <sz val="10"/>
      <color theme="0" tint="-0.24997000396251678"/>
      <name val="Arial CE"/>
      <family val="0"/>
    </font>
    <font>
      <sz val="10"/>
      <color rgb="FFFF0000"/>
      <name val="Arial CE"/>
      <family val="0"/>
    </font>
    <font>
      <i/>
      <sz val="10"/>
      <color rgb="FFFF0000"/>
      <name val="MS Sans Serif"/>
      <family val="2"/>
    </font>
    <font>
      <i/>
      <sz val="10"/>
      <color rgb="FFFF0000"/>
      <name val="Times New Roman"/>
      <family val="1"/>
    </font>
    <font>
      <b/>
      <sz val="12"/>
      <color rgb="FFFF0000"/>
      <name val="Arial CE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 CE"/>
      <family val="0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b/>
      <i/>
      <sz val="18"/>
      <color rgb="FF0070C0"/>
      <name val="Arial"/>
      <family val="2"/>
    </font>
    <font>
      <b/>
      <sz val="16"/>
      <color rgb="FF0070C0"/>
      <name val="Arial CE"/>
      <family val="0"/>
    </font>
    <font>
      <b/>
      <i/>
      <sz val="12"/>
      <color rgb="FF000000"/>
      <name val="Arial"/>
      <family val="2"/>
    </font>
    <font>
      <i/>
      <sz val="12"/>
      <color rgb="FF222222"/>
      <name val="Arial"/>
      <family val="2"/>
    </font>
    <font>
      <b/>
      <sz val="8"/>
      <name val="Arial CE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medium"/>
      <top/>
      <bottom style="thin"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1" applyNumberFormat="0" applyAlignment="0" applyProtection="0"/>
    <xf numFmtId="0" fontId="99" fillId="27" borderId="2" applyNumberFormat="0" applyAlignment="0" applyProtection="0"/>
    <xf numFmtId="0" fontId="10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29" borderId="4" applyNumberFormat="0" applyAlignment="0" applyProtection="0"/>
    <xf numFmtId="0" fontId="103" fillId="0" borderId="5" applyNumberFormat="0" applyFill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105" fillId="0" borderId="0" applyNumberFormat="0" applyFill="0" applyBorder="0" applyAlignment="0" applyProtection="0"/>
    <xf numFmtId="0" fontId="106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7" fillId="27" borderId="1" applyNumberFormat="0" applyAlignment="0" applyProtection="0"/>
    <xf numFmtId="9" fontId="0" fillId="0" borderId="0" applyFont="0" applyFill="0" applyBorder="0" applyAlignment="0" applyProtection="0"/>
    <xf numFmtId="0" fontId="108" fillId="0" borderId="8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32" borderId="0" applyNumberFormat="0" applyBorder="0" applyAlignment="0" applyProtection="0"/>
  </cellStyleXfs>
  <cellXfs count="106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38" fontId="5" fillId="0" borderId="0" xfId="55" applyNumberFormat="1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167" fontId="5" fillId="0" borderId="0" xfId="55" applyNumberFormat="1" applyFont="1" applyFill="1" applyBorder="1" applyAlignment="1">
      <alignment horizontal="left" vertical="center"/>
      <protection/>
    </xf>
    <xf numFmtId="167" fontId="2" fillId="0" borderId="0" xfId="55" applyNumberFormat="1" applyFont="1" applyFill="1" applyBorder="1" applyAlignment="1">
      <alignment horizontal="left" vertical="center"/>
      <protection/>
    </xf>
    <xf numFmtId="0" fontId="2" fillId="0" borderId="0" xfId="55" applyFont="1" applyFill="1" applyBorder="1" applyAlignment="1">
      <alignment horizontal="left" vertical="center"/>
      <protection/>
    </xf>
    <xf numFmtId="4" fontId="5" fillId="0" borderId="0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left"/>
      <protection/>
    </xf>
    <xf numFmtId="0" fontId="4" fillId="0" borderId="0" xfId="0" applyFont="1" applyAlignment="1">
      <alignment vertical="center"/>
    </xf>
    <xf numFmtId="0" fontId="5" fillId="33" borderId="0" xfId="55" applyFont="1" applyFill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167" fontId="5" fillId="0" borderId="0" xfId="55" applyNumberFormat="1" applyFont="1" applyFill="1" applyBorder="1" applyAlignment="1">
      <alignment horizontal="left"/>
      <protection/>
    </xf>
    <xf numFmtId="4" fontId="4" fillId="0" borderId="10" xfId="0" applyNumberFormat="1" applyFont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13" borderId="12" xfId="54" applyFont="1" applyFill="1" applyBorder="1" applyAlignment="1">
      <alignment horizontal="center" vertical="center" wrapText="1"/>
      <protection/>
    </xf>
    <xf numFmtId="0" fontId="2" fillId="35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Border="1" applyAlignment="1">
      <alignment/>
    </xf>
    <xf numFmtId="0" fontId="16" fillId="36" borderId="11" xfId="53" applyFont="1" applyFill="1" applyBorder="1" applyAlignment="1">
      <alignment horizontal="center" vertical="center"/>
      <protection/>
    </xf>
    <xf numFmtId="0" fontId="18" fillId="0" borderId="11" xfId="53" applyFont="1" applyBorder="1" applyAlignment="1">
      <alignment horizontal="center" vertical="center"/>
      <protection/>
    </xf>
    <xf numFmtId="0" fontId="18" fillId="0" borderId="11" xfId="53" applyFont="1" applyFill="1" applyBorder="1" applyAlignment="1">
      <alignment horizontal="center" vertical="center"/>
      <protection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55" applyNumberFormat="1" applyFont="1" applyFill="1" applyBorder="1" applyAlignment="1">
      <alignment horizontal="center" vertical="center"/>
      <protection/>
    </xf>
    <xf numFmtId="2" fontId="4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2" fontId="5" fillId="0" borderId="0" xfId="55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2" fontId="2" fillId="0" borderId="13" xfId="55" applyNumberFormat="1" applyFont="1" applyFill="1" applyBorder="1" applyAlignment="1">
      <alignment horizontal="center" vertical="center"/>
      <protection/>
    </xf>
    <xf numFmtId="2" fontId="2" fillId="0" borderId="14" xfId="55" applyNumberFormat="1" applyFont="1" applyFill="1" applyBorder="1" applyAlignment="1">
      <alignment horizontal="center" vertical="center"/>
      <protection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21" fillId="0" borderId="0" xfId="0" applyFont="1" applyBorder="1" applyAlignment="1">
      <alignment horizontal="left" vertical="top" wrapText="1"/>
    </xf>
    <xf numFmtId="0" fontId="16" fillId="38" borderId="16" xfId="53" applyFont="1" applyFill="1" applyBorder="1" applyAlignment="1">
      <alignment horizontal="center" vertical="center" wrapText="1"/>
      <protection/>
    </xf>
    <xf numFmtId="0" fontId="16" fillId="38" borderId="17" xfId="53" applyFont="1" applyFill="1" applyBorder="1" applyAlignment="1">
      <alignment horizontal="center" vertical="center" wrapText="1"/>
      <protection/>
    </xf>
    <xf numFmtId="0" fontId="16" fillId="36" borderId="12" xfId="53" applyFont="1" applyFill="1" applyBorder="1" applyAlignment="1">
      <alignment horizontal="center" vertical="center"/>
      <protection/>
    </xf>
    <xf numFmtId="0" fontId="18" fillId="0" borderId="12" xfId="53" applyFont="1" applyBorder="1" applyAlignment="1">
      <alignment horizontal="center" vertical="center"/>
      <protection/>
    </xf>
    <xf numFmtId="0" fontId="18" fillId="0" borderId="12" xfId="53" applyFont="1" applyFill="1" applyBorder="1" applyAlignment="1">
      <alignment horizontal="center" vertical="center"/>
      <protection/>
    </xf>
    <xf numFmtId="168" fontId="18" fillId="39" borderId="11" xfId="53" applyNumberFormat="1" applyFont="1" applyFill="1" applyBorder="1" applyAlignment="1">
      <alignment vertical="center" wrapText="1"/>
      <protection/>
    </xf>
    <xf numFmtId="0" fontId="11" fillId="0" borderId="0" xfId="0" applyFont="1" applyBorder="1" applyAlignment="1">
      <alignment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5" fillId="40" borderId="0" xfId="55" applyFont="1" applyFill="1" applyBorder="1" applyAlignment="1">
      <alignment horizontal="left" vertical="center"/>
      <protection/>
    </xf>
    <xf numFmtId="0" fontId="4" fillId="40" borderId="0" xfId="0" applyFont="1" applyFill="1" applyAlignment="1">
      <alignment vertical="center"/>
    </xf>
    <xf numFmtId="0" fontId="0" fillId="40" borderId="0" xfId="0" applyFont="1" applyFill="1" applyAlignment="1">
      <alignment vertical="center"/>
    </xf>
    <xf numFmtId="2" fontId="2" fillId="0" borderId="0" xfId="55" applyNumberFormat="1" applyFont="1" applyFill="1" applyBorder="1" applyAlignment="1">
      <alignment horizontal="center" vertical="center"/>
      <protection/>
    </xf>
    <xf numFmtId="2" fontId="5" fillId="40" borderId="0" xfId="55" applyNumberFormat="1" applyFont="1" applyFill="1" applyBorder="1" applyAlignment="1">
      <alignment horizontal="left" vertical="center"/>
      <protection/>
    </xf>
    <xf numFmtId="0" fontId="2" fillId="13" borderId="18" xfId="54" applyFont="1" applyFill="1" applyBorder="1" applyAlignment="1">
      <alignment horizontal="center" vertical="center" wrapText="1"/>
      <protection/>
    </xf>
    <xf numFmtId="0" fontId="2" fillId="6" borderId="12" xfId="54" applyFont="1" applyFill="1" applyBorder="1" applyAlignment="1">
      <alignment horizontal="center" vertical="center" wrapText="1"/>
      <protection/>
    </xf>
    <xf numFmtId="0" fontId="2" fillId="6" borderId="11" xfId="54" applyFont="1" applyFill="1" applyBorder="1" applyAlignment="1">
      <alignment horizontal="center" vertical="center" wrapText="1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164" fontId="2" fillId="0" borderId="11" xfId="54" applyNumberFormat="1" applyFont="1" applyFill="1" applyBorder="1" applyAlignment="1">
      <alignment horizontal="center" vertical="center" wrapText="1"/>
      <protection/>
    </xf>
    <xf numFmtId="4" fontId="5" fillId="0" borderId="11" xfId="54" applyNumberFormat="1" applyFont="1" applyFill="1" applyBorder="1" applyAlignment="1">
      <alignment horizontal="left" vertical="center" wrapText="1"/>
      <protection/>
    </xf>
    <xf numFmtId="2" fontId="5" fillId="0" borderId="11" xfId="54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2" fillId="6" borderId="11" xfId="54" applyNumberFormat="1" applyFont="1" applyFill="1" applyBorder="1" applyAlignment="1" quotePrefix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164" fontId="2" fillId="0" borderId="11" xfId="54" applyNumberFormat="1" applyFont="1" applyFill="1" applyBorder="1" applyAlignment="1" quotePrefix="1">
      <alignment horizontal="center" vertical="center" wrapText="1"/>
      <protection/>
    </xf>
    <xf numFmtId="0" fontId="2" fillId="0" borderId="11" xfId="54" applyFont="1" applyFill="1" applyBorder="1" applyAlignment="1">
      <alignment vertical="center" wrapText="1"/>
      <protection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54" applyNumberFormat="1" applyFont="1" applyFill="1" applyBorder="1" applyAlignment="1">
      <alignment horizontal="center" vertical="center"/>
      <protection/>
    </xf>
    <xf numFmtId="164" fontId="5" fillId="0" borderId="11" xfId="54" applyNumberFormat="1" applyFont="1" applyFill="1" applyBorder="1" applyAlignment="1" quotePrefix="1">
      <alignment horizontal="center" vertical="center" wrapText="1"/>
      <protection/>
    </xf>
    <xf numFmtId="0" fontId="5" fillId="0" borderId="11" xfId="54" applyFont="1" applyFill="1" applyBorder="1" applyAlignment="1">
      <alignment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4" fontId="5" fillId="0" borderId="11" xfId="54" applyNumberFormat="1" applyFont="1" applyFill="1" applyBorder="1" applyAlignment="1">
      <alignment horizontal="center" vertical="center"/>
      <protection/>
    </xf>
    <xf numFmtId="4" fontId="2" fillId="0" borderId="11" xfId="0" applyNumberFormat="1" applyFont="1" applyBorder="1" applyAlignment="1">
      <alignment horizontal="center" vertical="center"/>
    </xf>
    <xf numFmtId="4" fontId="5" fillId="0" borderId="11" xfId="55" applyNumberFormat="1" applyFont="1" applyFill="1" applyBorder="1" applyAlignment="1">
      <alignment horizontal="center" vertical="center"/>
      <protection/>
    </xf>
    <xf numFmtId="0" fontId="2" fillId="0" borderId="11" xfId="54" applyFont="1" applyFill="1" applyBorder="1" applyAlignment="1" quotePrefix="1">
      <alignment vertical="center" wrapText="1"/>
      <protection/>
    </xf>
    <xf numFmtId="0" fontId="2" fillId="0" borderId="11" xfId="55" applyFont="1" applyFill="1" applyBorder="1" applyAlignment="1" applyProtection="1">
      <alignment horizontal="center" vertical="center" wrapText="1"/>
      <protection/>
    </xf>
    <xf numFmtId="4" fontId="2" fillId="0" borderId="11" xfId="55" applyNumberFormat="1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 applyProtection="1">
      <alignment horizontal="center" vertical="center" wrapText="1"/>
      <protection/>
    </xf>
    <xf numFmtId="166" fontId="2" fillId="0" borderId="11" xfId="55" applyNumberFormat="1" applyFont="1" applyFill="1" applyBorder="1" applyAlignment="1" applyProtection="1">
      <alignment horizontal="center" vertical="center" wrapText="1"/>
      <protection/>
    </xf>
    <xf numFmtId="166" fontId="2" fillId="0" borderId="11" xfId="55" applyNumberFormat="1" applyFont="1" applyFill="1" applyBorder="1" applyAlignment="1" applyProtection="1" quotePrefix="1">
      <alignment horizontal="center" vertical="center" wrapText="1"/>
      <protection/>
    </xf>
    <xf numFmtId="166" fontId="5" fillId="0" borderId="11" xfId="55" applyNumberFormat="1" applyFont="1" applyFill="1" applyBorder="1" applyAlignment="1" applyProtection="1" quotePrefix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5" fillId="0" borderId="12" xfId="55" applyFont="1" applyFill="1" applyBorder="1" applyAlignment="1" applyProtection="1">
      <alignment horizontal="center" vertical="center" wrapText="1"/>
      <protection/>
    </xf>
    <xf numFmtId="0" fontId="2" fillId="0" borderId="12" xfId="55" applyFont="1" applyFill="1" applyBorder="1" applyAlignment="1" applyProtection="1">
      <alignment horizontal="center" vertical="center" wrapText="1"/>
      <protection/>
    </xf>
    <xf numFmtId="0" fontId="2" fillId="0" borderId="20" xfId="55" applyFont="1" applyFill="1" applyBorder="1" applyAlignment="1" applyProtection="1">
      <alignment horizontal="center" vertical="center" wrapText="1"/>
      <protection/>
    </xf>
    <xf numFmtId="4" fontId="2" fillId="0" borderId="19" xfId="0" applyNumberFormat="1" applyFont="1" applyBorder="1" applyAlignment="1">
      <alignment horizontal="center" vertical="center"/>
    </xf>
    <xf numFmtId="4" fontId="2" fillId="0" borderId="19" xfId="55" applyNumberFormat="1" applyFont="1" applyFill="1" applyBorder="1" applyAlignment="1">
      <alignment horizontal="center" vertical="center"/>
      <protection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5" fillId="0" borderId="0" xfId="55" applyNumberFormat="1" applyFont="1" applyFill="1" applyBorder="1" applyAlignment="1">
      <alignment horizontal="left" vertical="center"/>
      <protection/>
    </xf>
    <xf numFmtId="4" fontId="2" fillId="0" borderId="0" xfId="55" applyNumberFormat="1" applyFont="1" applyFill="1" applyBorder="1" applyAlignment="1">
      <alignment horizontal="left" vertical="center"/>
      <protection/>
    </xf>
    <xf numFmtId="4" fontId="5" fillId="40" borderId="0" xfId="55" applyNumberFormat="1" applyFont="1" applyFill="1" applyBorder="1" applyAlignment="1">
      <alignment horizontal="left" vertical="center"/>
      <protection/>
    </xf>
    <xf numFmtId="0" fontId="113" fillId="40" borderId="0" xfId="55" applyFont="1" applyFill="1" applyBorder="1" applyAlignment="1">
      <alignment horizontal="left" vertical="center"/>
      <protection/>
    </xf>
    <xf numFmtId="0" fontId="113" fillId="0" borderId="0" xfId="55" applyFont="1" applyFill="1" applyBorder="1" applyAlignment="1">
      <alignment horizontal="left" vertical="center"/>
      <protection/>
    </xf>
    <xf numFmtId="0" fontId="5" fillId="0" borderId="11" xfId="0" applyFont="1" applyFill="1" applyBorder="1" applyAlignment="1">
      <alignment vertical="center"/>
    </xf>
    <xf numFmtId="4" fontId="5" fillId="0" borderId="11" xfId="0" applyNumberFormat="1" applyFont="1" applyBorder="1" applyAlignment="1">
      <alignment horizontal="center" vertical="center"/>
    </xf>
    <xf numFmtId="4" fontId="2" fillId="35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5" fillId="0" borderId="11" xfId="55" applyFont="1" applyFill="1" applyBorder="1" applyAlignment="1">
      <alignment horizontal="left" vertical="center"/>
      <protection/>
    </xf>
    <xf numFmtId="164" fontId="114" fillId="0" borderId="11" xfId="54" applyNumberFormat="1" applyFont="1" applyFill="1" applyBorder="1" applyAlignment="1" quotePrefix="1">
      <alignment horizontal="center" vertical="center" wrapText="1"/>
      <protection/>
    </xf>
    <xf numFmtId="0" fontId="2" fillId="0" borderId="11" xfId="54" applyFont="1" applyFill="1" applyBorder="1" applyAlignment="1">
      <alignment horizontal="left" vertical="center" wrapText="1"/>
      <protection/>
    </xf>
    <xf numFmtId="0" fontId="5" fillId="0" borderId="11" xfId="54" applyFont="1" applyFill="1" applyBorder="1" applyAlignment="1">
      <alignment horizontal="left" vertical="center" wrapText="1"/>
      <protection/>
    </xf>
    <xf numFmtId="0" fontId="5" fillId="0" borderId="11" xfId="55" applyFont="1" applyFill="1" applyBorder="1" applyAlignment="1" applyProtection="1">
      <alignment horizontal="left" vertical="center" wrapText="1"/>
      <protection/>
    </xf>
    <xf numFmtId="0" fontId="2" fillId="0" borderId="11" xfId="55" applyFont="1" applyFill="1" applyBorder="1" applyAlignment="1" applyProtection="1">
      <alignment horizontal="left" vertical="center" wrapText="1"/>
      <protection/>
    </xf>
    <xf numFmtId="38" fontId="5" fillId="0" borderId="11" xfId="55" applyNumberFormat="1" applyFont="1" applyFill="1" applyBorder="1" applyAlignment="1">
      <alignment horizontal="left" vertical="center"/>
      <protection/>
    </xf>
    <xf numFmtId="0" fontId="2" fillId="0" borderId="11" xfId="55" applyFont="1" applyFill="1" applyBorder="1" applyAlignment="1">
      <alignment horizontal="left" vertical="center"/>
      <protection/>
    </xf>
    <xf numFmtId="0" fontId="2" fillId="0" borderId="11" xfId="55" applyFont="1" applyFill="1" applyBorder="1" applyAlignment="1" applyProtection="1" quotePrefix="1">
      <alignment horizontal="left" vertical="center" wrapText="1"/>
      <protection/>
    </xf>
    <xf numFmtId="167" fontId="2" fillId="0" borderId="11" xfId="55" applyNumberFormat="1" applyFont="1" applyFill="1" applyBorder="1" applyAlignment="1">
      <alignment horizontal="left" vertical="center"/>
      <protection/>
    </xf>
    <xf numFmtId="167" fontId="5" fillId="0" borderId="11" xfId="55" applyNumberFormat="1" applyFont="1" applyFill="1" applyBorder="1" applyAlignment="1">
      <alignment horizontal="left" vertical="center"/>
      <protection/>
    </xf>
    <xf numFmtId="2" fontId="5" fillId="0" borderId="11" xfId="55" applyNumberFormat="1" applyFont="1" applyFill="1" applyBorder="1" applyAlignment="1">
      <alignment horizontal="left" vertical="center"/>
      <protection/>
    </xf>
    <xf numFmtId="167" fontId="5" fillId="0" borderId="11" xfId="55" applyNumberFormat="1" applyFont="1" applyFill="1" applyBorder="1" applyAlignment="1">
      <alignment horizontal="left"/>
      <protection/>
    </xf>
    <xf numFmtId="0" fontId="114" fillId="0" borderId="12" xfId="54" applyFont="1" applyFill="1" applyBorder="1" applyAlignment="1">
      <alignment horizontal="center" vertical="center" wrapText="1"/>
      <protection/>
    </xf>
    <xf numFmtId="0" fontId="5" fillId="0" borderId="21" xfId="55" applyFont="1" applyFill="1" applyBorder="1" applyAlignment="1" applyProtection="1">
      <alignment horizontal="left" vertical="center" wrapText="1"/>
      <protection/>
    </xf>
    <xf numFmtId="0" fontId="5" fillId="0" borderId="21" xfId="55" applyFont="1" applyFill="1" applyBorder="1" applyAlignment="1" applyProtection="1">
      <alignment horizontal="center" vertical="center" wrapText="1"/>
      <protection/>
    </xf>
    <xf numFmtId="4" fontId="5" fillId="0" borderId="21" xfId="55" applyNumberFormat="1" applyFont="1" applyFill="1" applyBorder="1" applyAlignment="1">
      <alignment horizontal="center" vertical="center"/>
      <protection/>
    </xf>
    <xf numFmtId="4" fontId="5" fillId="0" borderId="19" xfId="54" applyNumberFormat="1" applyFont="1" applyFill="1" applyBorder="1" applyAlignment="1">
      <alignment horizontal="center" vertical="center"/>
      <protection/>
    </xf>
    <xf numFmtId="4" fontId="5" fillId="0" borderId="19" xfId="55" applyNumberFormat="1" applyFont="1" applyFill="1" applyBorder="1" applyAlignment="1">
      <alignment horizontal="center" vertical="center"/>
      <protection/>
    </xf>
    <xf numFmtId="4" fontId="5" fillId="0" borderId="22" xfId="55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4" fontId="114" fillId="0" borderId="19" xfId="55" applyNumberFormat="1" applyFont="1" applyFill="1" applyBorder="1" applyAlignment="1">
      <alignment horizontal="center" vertical="center"/>
      <protection/>
    </xf>
    <xf numFmtId="4" fontId="0" fillId="0" borderId="0" xfId="0" applyNumberFormat="1" applyFont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2" fillId="40" borderId="19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8" fontId="18" fillId="39" borderId="23" xfId="53" applyNumberFormat="1" applyFont="1" applyFill="1" applyBorder="1" applyAlignment="1">
      <alignment vertical="center" wrapText="1"/>
      <protection/>
    </xf>
    <xf numFmtId="0" fontId="113" fillId="33" borderId="0" xfId="55" applyFont="1" applyFill="1" applyBorder="1" applyAlignment="1">
      <alignment horizontal="left" vertical="center"/>
      <protection/>
    </xf>
    <xf numFmtId="2" fontId="5" fillId="0" borderId="19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6" fillId="36" borderId="18" xfId="53" applyFont="1" applyFill="1" applyBorder="1" applyAlignment="1">
      <alignment horizontal="center" vertical="center"/>
      <protection/>
    </xf>
    <xf numFmtId="0" fontId="16" fillId="36" borderId="24" xfId="53" applyFont="1" applyFill="1" applyBorder="1" applyAlignment="1">
      <alignment horizontal="center" vertical="center"/>
      <protection/>
    </xf>
    <xf numFmtId="0" fontId="18" fillId="0" borderId="20" xfId="53" applyFont="1" applyFill="1" applyBorder="1" applyAlignment="1">
      <alignment horizontal="center" vertical="center"/>
      <protection/>
    </xf>
    <xf numFmtId="0" fontId="18" fillId="0" borderId="21" xfId="53" applyFont="1" applyFill="1" applyBorder="1" applyAlignment="1">
      <alignment horizontal="center" vertical="center"/>
      <protection/>
    </xf>
    <xf numFmtId="0" fontId="16" fillId="38" borderId="25" xfId="53" applyFont="1" applyFill="1" applyBorder="1" applyAlignment="1">
      <alignment horizontal="center" vertical="center" wrapText="1"/>
      <protection/>
    </xf>
    <xf numFmtId="4" fontId="16" fillId="36" borderId="26" xfId="53" applyNumberFormat="1" applyFont="1" applyFill="1" applyBorder="1" applyAlignment="1">
      <alignment horizontal="center" vertical="center"/>
      <protection/>
    </xf>
    <xf numFmtId="4" fontId="18" fillId="0" borderId="26" xfId="53" applyNumberFormat="1" applyFont="1" applyFill="1" applyBorder="1" applyAlignment="1">
      <alignment horizontal="center" vertical="center"/>
      <protection/>
    </xf>
    <xf numFmtId="4" fontId="18" fillId="0" borderId="27" xfId="53" applyNumberFormat="1" applyFont="1" applyFill="1" applyBorder="1" applyAlignment="1">
      <alignment horizontal="center" vertical="center"/>
      <protection/>
    </xf>
    <xf numFmtId="4" fontId="16" fillId="36" borderId="28" xfId="53" applyNumberFormat="1" applyFont="1" applyFill="1" applyBorder="1" applyAlignment="1">
      <alignment horizontal="center" vertical="center"/>
      <protection/>
    </xf>
    <xf numFmtId="4" fontId="16" fillId="0" borderId="26" xfId="53" applyNumberFormat="1" applyFont="1" applyFill="1" applyBorder="1" applyAlignment="1">
      <alignment horizontal="center" vertical="center"/>
      <protection/>
    </xf>
    <xf numFmtId="4" fontId="16" fillId="0" borderId="27" xfId="53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165" fontId="5" fillId="0" borderId="0" xfId="0" applyNumberFormat="1" applyFont="1" applyFill="1" applyAlignment="1">
      <alignment horizontal="center" vertical="center"/>
    </xf>
    <xf numFmtId="0" fontId="0" fillId="4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9" xfId="54" applyFont="1" applyFill="1" applyBorder="1" applyAlignment="1">
      <alignment horizontal="center" vertical="center" wrapText="1"/>
      <protection/>
    </xf>
    <xf numFmtId="164" fontId="2" fillId="0" borderId="30" xfId="54" applyNumberFormat="1" applyFont="1" applyFill="1" applyBorder="1" applyAlignment="1" quotePrefix="1">
      <alignment horizontal="center" vertical="center" wrapText="1"/>
      <protection/>
    </xf>
    <xf numFmtId="0" fontId="2" fillId="0" borderId="30" xfId="54" applyFont="1" applyFill="1" applyBorder="1" applyAlignment="1">
      <alignment horizontal="center" vertical="center" wrapText="1"/>
      <protection/>
    </xf>
    <xf numFmtId="0" fontId="2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0" fontId="5" fillId="0" borderId="11" xfId="55" applyFont="1" applyFill="1" applyBorder="1" applyAlignment="1" applyProtection="1">
      <alignment horizontal="left" wrapText="1"/>
      <protection/>
    </xf>
    <xf numFmtId="2" fontId="2" fillId="6" borderId="11" xfId="0" applyNumberFormat="1" applyFont="1" applyFill="1" applyBorder="1" applyAlignment="1">
      <alignment horizontal="center" vertical="center"/>
    </xf>
    <xf numFmtId="0" fontId="2" fillId="0" borderId="32" xfId="55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33" xfId="55" applyFont="1" applyFill="1" applyBorder="1" applyAlignment="1" applyProtection="1">
      <alignment horizontal="left" vertical="center" wrapText="1"/>
      <protection/>
    </xf>
    <xf numFmtId="0" fontId="5" fillId="0" borderId="33" xfId="55" applyFont="1" applyFill="1" applyBorder="1" applyAlignment="1" applyProtection="1">
      <alignment horizontal="center" vertical="center" wrapText="1"/>
      <protection/>
    </xf>
    <xf numFmtId="4" fontId="5" fillId="0" borderId="33" xfId="55" applyNumberFormat="1" applyFont="1" applyFill="1" applyBorder="1" applyAlignment="1">
      <alignment horizontal="center" vertical="center"/>
      <protection/>
    </xf>
    <xf numFmtId="4" fontId="5" fillId="0" borderId="34" xfId="55" applyNumberFormat="1" applyFont="1" applyFill="1" applyBorder="1" applyAlignment="1">
      <alignment horizontal="center" vertical="center"/>
      <protection/>
    </xf>
    <xf numFmtId="2" fontId="2" fillId="0" borderId="24" xfId="0" applyNumberFormat="1" applyFont="1" applyBorder="1" applyAlignment="1">
      <alignment horizontal="center" vertical="center"/>
    </xf>
    <xf numFmtId="0" fontId="28" fillId="0" borderId="11" xfId="0" applyNumberFormat="1" applyFont="1" applyFill="1" applyBorder="1" applyAlignment="1" applyProtection="1">
      <alignment vertical="center"/>
      <protection/>
    </xf>
    <xf numFmtId="0" fontId="29" fillId="0" borderId="11" xfId="55" applyFont="1" applyFill="1" applyBorder="1" applyAlignment="1" applyProtection="1">
      <alignment horizontal="left" vertical="center" wrapText="1"/>
      <protection/>
    </xf>
    <xf numFmtId="0" fontId="29" fillId="0" borderId="11" xfId="55" applyFont="1" applyFill="1" applyBorder="1" applyAlignment="1" applyProtection="1">
      <alignment horizontal="center" vertical="center" wrapText="1"/>
      <protection/>
    </xf>
    <xf numFmtId="4" fontId="29" fillId="0" borderId="11" xfId="55" applyNumberFormat="1" applyFont="1" applyFill="1" applyBorder="1" applyAlignment="1" applyProtection="1">
      <alignment horizontal="center" vertical="center"/>
      <protection locked="0"/>
    </xf>
    <xf numFmtId="0" fontId="29" fillId="0" borderId="11" xfId="55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29" fillId="0" borderId="11" xfId="0" applyFont="1" applyFill="1" applyBorder="1" applyAlignment="1">
      <alignment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" fontId="114" fillId="0" borderId="11" xfId="0" applyNumberFormat="1" applyFont="1" applyBorder="1" applyAlignment="1">
      <alignment horizontal="center" vertical="center"/>
    </xf>
    <xf numFmtId="4" fontId="114" fillId="0" borderId="19" xfId="0" applyNumberFormat="1" applyFont="1" applyBorder="1" applyAlignment="1">
      <alignment horizontal="center" vertical="center"/>
    </xf>
    <xf numFmtId="4" fontId="2" fillId="40" borderId="19" xfId="55" applyNumberFormat="1" applyFont="1" applyFill="1" applyBorder="1" applyAlignment="1">
      <alignment horizontal="center" vertical="center"/>
      <protection/>
    </xf>
    <xf numFmtId="4" fontId="2" fillId="0" borderId="19" xfId="55" applyNumberFormat="1" applyFont="1" applyFill="1" applyBorder="1" applyAlignment="1">
      <alignment horizontal="center"/>
      <protection/>
    </xf>
    <xf numFmtId="4" fontId="2" fillId="0" borderId="0" xfId="0" applyNumberFormat="1" applyFont="1" applyAlignment="1">
      <alignment horizontal="center" vertical="center"/>
    </xf>
    <xf numFmtId="4" fontId="114" fillId="0" borderId="11" xfId="55" applyNumberFormat="1" applyFont="1" applyFill="1" applyBorder="1" applyAlignment="1">
      <alignment horizontal="center" vertical="center"/>
      <protection/>
    </xf>
    <xf numFmtId="4" fontId="2" fillId="0" borderId="0" xfId="55" applyNumberFormat="1" applyFont="1" applyFill="1" applyBorder="1" applyAlignment="1">
      <alignment horizontal="center"/>
      <protection/>
    </xf>
    <xf numFmtId="4" fontId="0" fillId="40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9" fillId="41" borderId="11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1" xfId="44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24" xfId="44" applyNumberFormat="1" applyFont="1" applyBorder="1" applyAlignment="1">
      <alignment horizontal="center" vertical="center"/>
    </xf>
    <xf numFmtId="2" fontId="0" fillId="0" borderId="35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0" xfId="0" applyAlignment="1">
      <alignment vertical="center"/>
    </xf>
    <xf numFmtId="0" fontId="35" fillId="0" borderId="0" xfId="0" applyFont="1" applyAlignment="1">
      <alignment horizontal="right"/>
    </xf>
    <xf numFmtId="169" fontId="39" fillId="41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35" xfId="0" applyNumberFormat="1" applyFont="1" applyBorder="1" applyAlignment="1">
      <alignment vertical="center"/>
    </xf>
    <xf numFmtId="2" fontId="0" fillId="0" borderId="24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2" fontId="0" fillId="0" borderId="11" xfId="0" applyNumberFormat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2" fontId="27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1" xfId="44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1" fontId="0" fillId="0" borderId="11" xfId="44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1" fontId="4" fillId="42" borderId="11" xfId="44" applyNumberFormat="1" applyFont="1" applyFill="1" applyBorder="1" applyAlignment="1">
      <alignment horizontal="center" vertical="center" wrapText="1"/>
    </xf>
    <xf numFmtId="2" fontId="27" fillId="0" borderId="0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42" xfId="0" applyNumberFormat="1" applyFont="1" applyBorder="1" applyAlignment="1">
      <alignment horizontal="center" vertical="center" wrapText="1"/>
    </xf>
    <xf numFmtId="2" fontId="0" fillId="43" borderId="11" xfId="0" applyNumberFormat="1" applyFont="1" applyFill="1" applyBorder="1" applyAlignment="1">
      <alignment horizontal="center" vertical="center" wrapText="1"/>
    </xf>
    <xf numFmtId="2" fontId="0" fillId="43" borderId="24" xfId="0" applyNumberFormat="1" applyFont="1" applyFill="1" applyBorder="1" applyAlignment="1">
      <alignment horizontal="center" vertical="center" wrapText="1"/>
    </xf>
    <xf numFmtId="2" fontId="4" fillId="43" borderId="11" xfId="0" applyNumberFormat="1" applyFont="1" applyFill="1" applyBorder="1" applyAlignment="1">
      <alignment horizontal="center" vertical="center" wrapText="1"/>
    </xf>
    <xf numFmtId="2" fontId="4" fillId="43" borderId="35" xfId="0" applyNumberFormat="1" applyFont="1" applyFill="1" applyBorder="1" applyAlignment="1">
      <alignment horizontal="center" vertical="center" wrapText="1"/>
    </xf>
    <xf numFmtId="4" fontId="47" fillId="0" borderId="25" xfId="0" applyNumberFormat="1" applyFont="1" applyBorder="1" applyAlignment="1">
      <alignment horizontal="center" vertical="center"/>
    </xf>
    <xf numFmtId="4" fontId="47" fillId="0" borderId="26" xfId="0" applyNumberFormat="1" applyFont="1" applyBorder="1" applyAlignment="1">
      <alignment horizontal="center" vertical="center"/>
    </xf>
    <xf numFmtId="4" fontId="47" fillId="0" borderId="27" xfId="0" applyNumberFormat="1" applyFont="1" applyBorder="1" applyAlignment="1">
      <alignment horizontal="center" vertical="center"/>
    </xf>
    <xf numFmtId="4" fontId="47" fillId="0" borderId="43" xfId="0" applyNumberFormat="1" applyFont="1" applyBorder="1" applyAlignment="1">
      <alignment horizontal="center" vertical="center"/>
    </xf>
    <xf numFmtId="4" fontId="47" fillId="40" borderId="19" xfId="55" applyNumberFormat="1" applyFont="1" applyFill="1" applyBorder="1" applyAlignment="1">
      <alignment horizontal="center" vertical="center"/>
      <protection/>
    </xf>
    <xf numFmtId="4" fontId="47" fillId="0" borderId="19" xfId="0" applyNumberFormat="1" applyFont="1" applyBorder="1" applyAlignment="1">
      <alignment horizontal="center" vertical="center"/>
    </xf>
    <xf numFmtId="4" fontId="47" fillId="0" borderId="43" xfId="0" applyNumberFormat="1" applyFont="1" applyFill="1" applyBorder="1" applyAlignment="1">
      <alignment horizontal="center" vertical="center"/>
    </xf>
    <xf numFmtId="4" fontId="47" fillId="0" borderId="19" xfId="55" applyNumberFormat="1" applyFont="1" applyFill="1" applyBorder="1" applyAlignment="1">
      <alignment horizontal="center" vertical="center"/>
      <protection/>
    </xf>
    <xf numFmtId="4" fontId="47" fillId="40" borderId="19" xfId="0" applyNumberFormat="1" applyFont="1" applyFill="1" applyBorder="1" applyAlignment="1">
      <alignment horizontal="center" vertical="center"/>
    </xf>
    <xf numFmtId="4" fontId="2" fillId="0" borderId="39" xfId="55" applyNumberFormat="1" applyFont="1" applyFill="1" applyBorder="1" applyAlignment="1">
      <alignment horizontal="center" vertical="center"/>
      <protection/>
    </xf>
    <xf numFmtId="0" fontId="114" fillId="0" borderId="11" xfId="0" applyFont="1" applyFill="1" applyBorder="1" applyAlignment="1">
      <alignment vertical="center"/>
    </xf>
    <xf numFmtId="4" fontId="114" fillId="35" borderId="11" xfId="0" applyNumberFormat="1" applyFont="1" applyFill="1" applyBorder="1" applyAlignment="1">
      <alignment horizontal="center" vertical="center" wrapText="1"/>
    </xf>
    <xf numFmtId="4" fontId="114" fillId="0" borderId="11" xfId="54" applyNumberFormat="1" applyFont="1" applyFill="1" applyBorder="1" applyAlignment="1">
      <alignment horizontal="center" vertical="center"/>
      <protection/>
    </xf>
    <xf numFmtId="2" fontId="114" fillId="0" borderId="11" xfId="0" applyNumberFormat="1" applyFont="1" applyFill="1" applyBorder="1" applyAlignment="1">
      <alignment vertical="center"/>
    </xf>
    <xf numFmtId="2" fontId="114" fillId="0" borderId="11" xfId="0" applyNumberFormat="1" applyFont="1" applyBorder="1" applyAlignment="1">
      <alignment horizontal="center" vertical="center"/>
    </xf>
    <xf numFmtId="0" fontId="115" fillId="0" borderId="0" xfId="0" applyFont="1" applyAlignment="1">
      <alignment vertical="center"/>
    </xf>
    <xf numFmtId="0" fontId="0" fillId="34" borderId="0" xfId="0" applyFont="1" applyFill="1" applyAlignment="1">
      <alignment vertical="center"/>
    </xf>
    <xf numFmtId="4" fontId="16" fillId="0" borderId="28" xfId="53" applyNumberFormat="1" applyFont="1" applyFill="1" applyBorder="1" applyAlignment="1">
      <alignment horizontal="center" vertical="center"/>
      <protection/>
    </xf>
    <xf numFmtId="4" fontId="16" fillId="0" borderId="44" xfId="53" applyNumberFormat="1" applyFont="1" applyFill="1" applyBorder="1" applyAlignment="1">
      <alignment horizontal="center" vertical="center"/>
      <protection/>
    </xf>
    <xf numFmtId="4" fontId="16" fillId="44" borderId="25" xfId="53" applyNumberFormat="1" applyFont="1" applyFill="1" applyBorder="1" applyAlignment="1">
      <alignment horizontal="center" vertical="center"/>
      <protection/>
    </xf>
    <xf numFmtId="4" fontId="16" fillId="44" borderId="26" xfId="53" applyNumberFormat="1" applyFont="1" applyFill="1" applyBorder="1" applyAlignment="1">
      <alignment horizontal="center" vertical="center"/>
      <protection/>
    </xf>
    <xf numFmtId="4" fontId="16" fillId="44" borderId="27" xfId="53" applyNumberFormat="1" applyFont="1" applyFill="1" applyBorder="1" applyAlignment="1">
      <alignment horizontal="center" vertical="center"/>
      <protection/>
    </xf>
    <xf numFmtId="2" fontId="0" fillId="0" borderId="35" xfId="44" applyNumberFormat="1" applyFont="1" applyBorder="1" applyAlignment="1">
      <alignment horizontal="center" vertical="center"/>
    </xf>
    <xf numFmtId="2" fontId="2" fillId="6" borderId="11" xfId="0" applyNumberFormat="1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2" fontId="0" fillId="0" borderId="42" xfId="0" applyNumberFormat="1" applyBorder="1" applyAlignment="1">
      <alignment horizontal="center"/>
    </xf>
    <xf numFmtId="2" fontId="0" fillId="0" borderId="4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44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2" fontId="38" fillId="0" borderId="0" xfId="0" applyNumberFormat="1" applyFont="1" applyBorder="1" applyAlignment="1">
      <alignment horizontal="center" vertical="center"/>
    </xf>
    <xf numFmtId="2" fontId="0" fillId="0" borderId="42" xfId="0" applyNumberFormat="1" applyFont="1" applyBorder="1" applyAlignment="1">
      <alignment vertical="center"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45" xfId="0" applyFont="1" applyBorder="1" applyAlignment="1">
      <alignment horizontal="center" vertical="center"/>
    </xf>
    <xf numFmtId="2" fontId="0" fillId="0" borderId="45" xfId="0" applyNumberFormat="1" applyFont="1" applyBorder="1" applyAlignment="1">
      <alignment horizontal="center" vertical="center"/>
    </xf>
    <xf numFmtId="2" fontId="0" fillId="0" borderId="45" xfId="44" applyNumberFormat="1" applyFont="1" applyBorder="1" applyAlignment="1">
      <alignment horizontal="center" vertical="center"/>
    </xf>
    <xf numFmtId="2" fontId="41" fillId="0" borderId="45" xfId="0" applyNumberFormat="1" applyFont="1" applyBorder="1" applyAlignment="1">
      <alignment vertical="center"/>
    </xf>
    <xf numFmtId="0" fontId="41" fillId="0" borderId="46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5" fillId="42" borderId="0" xfId="0" applyFont="1" applyFill="1" applyBorder="1" applyAlignment="1">
      <alignment horizontal="center" vertical="center"/>
    </xf>
    <xf numFmtId="0" fontId="0" fillId="42" borderId="0" xfId="0" applyFont="1" applyFill="1" applyAlignment="1">
      <alignment vertical="center"/>
    </xf>
    <xf numFmtId="0" fontId="0" fillId="42" borderId="0" xfId="0" applyFont="1" applyFill="1" applyAlignment="1">
      <alignment vertical="center"/>
    </xf>
    <xf numFmtId="0" fontId="2" fillId="42" borderId="0" xfId="0" applyFont="1" applyFill="1" applyBorder="1" applyAlignment="1">
      <alignment vertical="center"/>
    </xf>
    <xf numFmtId="0" fontId="115" fillId="42" borderId="0" xfId="0" applyFont="1" applyFill="1" applyAlignment="1">
      <alignment vertical="center"/>
    </xf>
    <xf numFmtId="0" fontId="4" fillId="42" borderId="0" xfId="0" applyFont="1" applyFill="1" applyAlignment="1">
      <alignment vertical="center"/>
    </xf>
    <xf numFmtId="0" fontId="5" fillId="42" borderId="0" xfId="55" applyFont="1" applyFill="1" applyBorder="1" applyAlignment="1">
      <alignment horizontal="left" vertical="center"/>
      <protection/>
    </xf>
    <xf numFmtId="0" fontId="113" fillId="42" borderId="0" xfId="55" applyFont="1" applyFill="1" applyBorder="1" applyAlignment="1">
      <alignment horizontal="left" vertical="center"/>
      <protection/>
    </xf>
    <xf numFmtId="0" fontId="5" fillId="42" borderId="0" xfId="0" applyFont="1" applyFill="1" applyAlignment="1">
      <alignment vertical="center"/>
    </xf>
    <xf numFmtId="0" fontId="2" fillId="42" borderId="0" xfId="55" applyFont="1" applyFill="1" applyBorder="1" applyAlignment="1">
      <alignment horizontal="left" vertical="center"/>
      <protection/>
    </xf>
    <xf numFmtId="0" fontId="5" fillId="42" borderId="0" xfId="55" applyFont="1" applyFill="1" applyBorder="1" applyAlignment="1">
      <alignment horizontal="left"/>
      <protection/>
    </xf>
    <xf numFmtId="0" fontId="5" fillId="45" borderId="0" xfId="0" applyFont="1" applyFill="1" applyBorder="1" applyAlignment="1">
      <alignment horizontal="center" vertical="center"/>
    </xf>
    <xf numFmtId="0" fontId="0" fillId="45" borderId="0" xfId="0" applyFont="1" applyFill="1" applyAlignment="1">
      <alignment vertical="center"/>
    </xf>
    <xf numFmtId="0" fontId="0" fillId="45" borderId="0" xfId="0" applyFont="1" applyFill="1" applyAlignment="1">
      <alignment vertical="center"/>
    </xf>
    <xf numFmtId="0" fontId="2" fillId="45" borderId="0" xfId="0" applyFont="1" applyFill="1" applyBorder="1" applyAlignment="1">
      <alignment vertical="center"/>
    </xf>
    <xf numFmtId="0" fontId="115" fillId="45" borderId="0" xfId="0" applyFont="1" applyFill="1" applyAlignment="1">
      <alignment vertical="center"/>
    </xf>
    <xf numFmtId="0" fontId="4" fillId="45" borderId="0" xfId="0" applyFont="1" applyFill="1" applyAlignment="1">
      <alignment vertical="center"/>
    </xf>
    <xf numFmtId="0" fontId="5" fillId="45" borderId="0" xfId="55" applyFont="1" applyFill="1" applyBorder="1" applyAlignment="1">
      <alignment horizontal="left" vertical="center"/>
      <protection/>
    </xf>
    <xf numFmtId="0" fontId="113" fillId="45" borderId="0" xfId="55" applyFont="1" applyFill="1" applyBorder="1" applyAlignment="1">
      <alignment horizontal="left" vertical="center"/>
      <protection/>
    </xf>
    <xf numFmtId="0" fontId="5" fillId="45" borderId="0" xfId="0" applyFont="1" applyFill="1" applyAlignment="1">
      <alignment vertical="center"/>
    </xf>
    <xf numFmtId="0" fontId="2" fillId="45" borderId="0" xfId="55" applyFont="1" applyFill="1" applyBorder="1" applyAlignment="1">
      <alignment horizontal="left" vertical="center"/>
      <protection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4" fontId="2" fillId="0" borderId="14" xfId="55" applyNumberFormat="1" applyFont="1" applyFill="1" applyBorder="1" applyAlignment="1">
      <alignment horizontal="center" vertical="center"/>
      <protection/>
    </xf>
    <xf numFmtId="4" fontId="116" fillId="0" borderId="0" xfId="0" applyNumberFormat="1" applyFont="1" applyAlignment="1">
      <alignment/>
    </xf>
    <xf numFmtId="0" fontId="116" fillId="0" borderId="0" xfId="0" applyFont="1" applyAlignment="1">
      <alignment/>
    </xf>
    <xf numFmtId="0" fontId="116" fillId="0" borderId="0" xfId="0" applyFont="1" applyBorder="1" applyAlignment="1">
      <alignment/>
    </xf>
    <xf numFmtId="0" fontId="116" fillId="0" borderId="45" xfId="0" applyFont="1" applyBorder="1" applyAlignment="1">
      <alignment/>
    </xf>
    <xf numFmtId="0" fontId="117" fillId="0" borderId="0" xfId="0" applyFont="1" applyAlignment="1" quotePrefix="1">
      <alignment horizontal="center"/>
    </xf>
    <xf numFmtId="16" fontId="117" fillId="0" borderId="0" xfId="0" applyNumberFormat="1" applyFont="1" applyAlignment="1" quotePrefix="1">
      <alignment horizontal="center"/>
    </xf>
    <xf numFmtId="0" fontId="117" fillId="0" borderId="0" xfId="0" applyFont="1" applyAlignment="1">
      <alignment horizontal="center"/>
    </xf>
    <xf numFmtId="0" fontId="117" fillId="0" borderId="0" xfId="0" applyFont="1" applyAlignment="1">
      <alignment/>
    </xf>
    <xf numFmtId="0" fontId="116" fillId="0" borderId="0" xfId="0" applyFont="1" applyAlignment="1">
      <alignment horizontal="center"/>
    </xf>
    <xf numFmtId="0" fontId="116" fillId="46" borderId="0" xfId="0" applyFont="1" applyFill="1" applyAlignment="1">
      <alignment/>
    </xf>
    <xf numFmtId="0" fontId="116" fillId="0" borderId="0" xfId="0" applyFont="1" applyAlignment="1">
      <alignment horizontal="right"/>
    </xf>
    <xf numFmtId="4" fontId="2" fillId="0" borderId="11" xfId="54" applyNumberFormat="1" applyFont="1" applyFill="1" applyBorder="1" applyAlignment="1">
      <alignment horizontal="left" vertical="center" wrapText="1"/>
      <protection/>
    </xf>
    <xf numFmtId="2" fontId="2" fillId="0" borderId="11" xfId="54" applyNumberFormat="1" applyFont="1" applyFill="1" applyBorder="1" applyAlignment="1">
      <alignment horizontal="center" vertical="center" wrapText="1"/>
      <protection/>
    </xf>
    <xf numFmtId="2" fontId="2" fillId="0" borderId="11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2" fontId="0" fillId="0" borderId="35" xfId="44" applyNumberFormat="1" applyFont="1" applyBorder="1" applyAlignment="1">
      <alignment horizontal="center" vertical="center" wrapText="1"/>
    </xf>
    <xf numFmtId="2" fontId="0" fillId="0" borderId="35" xfId="44" applyNumberFormat="1" applyFont="1" applyBorder="1" applyAlignment="1" applyProtection="1">
      <alignment horizontal="center" vertical="center" wrapText="1"/>
      <protection locked="0"/>
    </xf>
    <xf numFmtId="2" fontId="4" fillId="42" borderId="11" xfId="44" applyNumberFormat="1" applyFont="1" applyFill="1" applyBorder="1" applyAlignment="1">
      <alignment horizontal="center" vertical="center" wrapText="1"/>
    </xf>
    <xf numFmtId="2" fontId="118" fillId="0" borderId="0" xfId="0" applyNumberFormat="1" applyFont="1" applyAlignment="1">
      <alignment horizontal="center"/>
    </xf>
    <xf numFmtId="2" fontId="0" fillId="43" borderId="24" xfId="0" applyNumberFormat="1" applyFont="1" applyFill="1" applyBorder="1" applyAlignment="1">
      <alignment horizontal="left" vertical="center" wrapText="1"/>
    </xf>
    <xf numFmtId="1" fontId="0" fillId="0" borderId="35" xfId="44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2" fontId="27" fillId="22" borderId="48" xfId="0" applyNumberFormat="1" applyFont="1" applyFill="1" applyBorder="1" applyAlignment="1">
      <alignment horizontal="left" vertical="center"/>
    </xf>
    <xf numFmtId="2" fontId="27" fillId="22" borderId="48" xfId="0" applyNumberFormat="1" applyFont="1" applyFill="1" applyBorder="1" applyAlignment="1">
      <alignment horizontal="center" vertical="center" wrapText="1"/>
    </xf>
    <xf numFmtId="2" fontId="27" fillId="22" borderId="17" xfId="0" applyNumberFormat="1" applyFont="1" applyFill="1" applyBorder="1" applyAlignment="1">
      <alignment horizontal="center" vertical="center" wrapText="1"/>
    </xf>
    <xf numFmtId="2" fontId="27" fillId="0" borderId="48" xfId="0" applyNumberFormat="1" applyFont="1" applyBorder="1" applyAlignment="1">
      <alignment horizontal="left" vertical="center"/>
    </xf>
    <xf numFmtId="2" fontId="27" fillId="0" borderId="49" xfId="0" applyNumberFormat="1" applyFont="1" applyBorder="1" applyAlignment="1">
      <alignment horizontal="center"/>
    </xf>
    <xf numFmtId="2" fontId="27" fillId="22" borderId="50" xfId="0" applyNumberFormat="1" applyFont="1" applyFill="1" applyBorder="1" applyAlignment="1">
      <alignment horizontal="center" vertical="center" wrapText="1"/>
    </xf>
    <xf numFmtId="2" fontId="0" fillId="43" borderId="18" xfId="0" applyNumberFormat="1" applyFont="1" applyFill="1" applyBorder="1" applyAlignment="1">
      <alignment horizontal="center" vertical="center" wrapText="1"/>
    </xf>
    <xf numFmtId="2" fontId="0" fillId="43" borderId="51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2" fontId="4" fillId="42" borderId="19" xfId="44" applyNumberFormat="1" applyFont="1" applyFill="1" applyBorder="1" applyAlignment="1">
      <alignment horizontal="center" vertical="center" wrapText="1"/>
    </xf>
    <xf numFmtId="2" fontId="0" fillId="0" borderId="38" xfId="0" applyNumberFormat="1" applyFont="1" applyBorder="1" applyAlignment="1">
      <alignment horizontal="center"/>
    </xf>
    <xf numFmtId="2" fontId="0" fillId="0" borderId="52" xfId="0" applyNumberFormat="1" applyFont="1" applyBorder="1" applyAlignment="1">
      <alignment horizontal="center" vertical="center" wrapText="1"/>
    </xf>
    <xf numFmtId="2" fontId="38" fillId="47" borderId="38" xfId="0" applyNumberFormat="1" applyFont="1" applyFill="1" applyBorder="1" applyAlignment="1">
      <alignment horizontal="center" vertical="center" wrapText="1"/>
    </xf>
    <xf numFmtId="0" fontId="0" fillId="0" borderId="52" xfId="0" applyNumberFormat="1" applyFont="1" applyBorder="1" applyAlignment="1">
      <alignment horizontal="center" vertical="center" wrapText="1"/>
    </xf>
    <xf numFmtId="1" fontId="4" fillId="42" borderId="21" xfId="44" applyNumberFormat="1" applyFont="1" applyFill="1" applyBorder="1" applyAlignment="1">
      <alignment horizontal="center" vertical="center" wrapText="1"/>
    </xf>
    <xf numFmtId="2" fontId="4" fillId="42" borderId="21" xfId="44" applyNumberFormat="1" applyFont="1" applyFill="1" applyBorder="1" applyAlignment="1">
      <alignment horizontal="center" vertical="center" wrapText="1"/>
    </xf>
    <xf numFmtId="2" fontId="0" fillId="0" borderId="21" xfId="44" applyNumberFormat="1" applyFont="1" applyBorder="1" applyAlignment="1">
      <alignment horizontal="center" vertical="center" wrapText="1"/>
    </xf>
    <xf numFmtId="2" fontId="2" fillId="6" borderId="11" xfId="0" applyNumberFormat="1" applyFont="1" applyFill="1" applyBorder="1" applyAlignment="1">
      <alignment horizontal="center" vertical="center"/>
    </xf>
    <xf numFmtId="4" fontId="2" fillId="35" borderId="13" xfId="0" applyNumberFormat="1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Border="1" applyAlignment="1">
      <alignment horizontal="center" vertical="center" wrapText="1"/>
    </xf>
    <xf numFmtId="164" fontId="114" fillId="0" borderId="11" xfId="54" applyNumberFormat="1" applyFont="1" applyFill="1" applyBorder="1" applyAlignment="1">
      <alignment horizontal="center" vertical="center" wrapText="1"/>
      <protection/>
    </xf>
    <xf numFmtId="0" fontId="114" fillId="0" borderId="0" xfId="0" applyFont="1" applyFill="1" applyBorder="1" applyAlignment="1">
      <alignment vertical="center"/>
    </xf>
    <xf numFmtId="0" fontId="114" fillId="6" borderId="12" xfId="54" applyFont="1" applyFill="1" applyBorder="1" applyAlignment="1">
      <alignment horizontal="center" vertical="center" wrapText="1"/>
      <protection/>
    </xf>
    <xf numFmtId="0" fontId="114" fillId="0" borderId="11" xfId="54" applyFont="1" applyFill="1" applyBorder="1" applyAlignment="1">
      <alignment vertical="center" wrapText="1"/>
      <protection/>
    </xf>
    <xf numFmtId="0" fontId="114" fillId="0" borderId="11" xfId="54" applyFont="1" applyFill="1" applyBorder="1" applyAlignment="1">
      <alignment horizontal="center" vertical="center" wrapText="1"/>
      <protection/>
    </xf>
    <xf numFmtId="4" fontId="114" fillId="0" borderId="19" xfId="54" applyNumberFormat="1" applyFont="1" applyFill="1" applyBorder="1" applyAlignment="1">
      <alignment horizontal="center" vertical="center"/>
      <protection/>
    </xf>
    <xf numFmtId="164" fontId="113" fillId="0" borderId="11" xfId="54" applyNumberFormat="1" applyFont="1" applyFill="1" applyBorder="1" applyAlignment="1" quotePrefix="1">
      <alignment horizontal="center" vertical="center" wrapText="1"/>
      <protection/>
    </xf>
    <xf numFmtId="0" fontId="113" fillId="0" borderId="11" xfId="54" applyFont="1" applyFill="1" applyBorder="1" applyAlignment="1">
      <alignment vertical="center" wrapText="1"/>
      <protection/>
    </xf>
    <xf numFmtId="0" fontId="113" fillId="0" borderId="11" xfId="54" applyFont="1" applyFill="1" applyBorder="1" applyAlignment="1">
      <alignment horizontal="center" vertical="center" wrapText="1"/>
      <protection/>
    </xf>
    <xf numFmtId="4" fontId="113" fillId="0" borderId="11" xfId="54" applyNumberFormat="1" applyFont="1" applyFill="1" applyBorder="1" applyAlignment="1">
      <alignment horizontal="center" vertical="center"/>
      <protection/>
    </xf>
    <xf numFmtId="0" fontId="114" fillId="6" borderId="11" xfId="54" applyFont="1" applyFill="1" applyBorder="1" applyAlignment="1">
      <alignment horizontal="center" vertical="center" wrapText="1"/>
      <protection/>
    </xf>
    <xf numFmtId="4" fontId="113" fillId="0" borderId="19" xfId="54" applyNumberFormat="1" applyFont="1" applyFill="1" applyBorder="1" applyAlignment="1">
      <alignment horizontal="center" vertical="center"/>
      <protection/>
    </xf>
    <xf numFmtId="0" fontId="113" fillId="0" borderId="12" xfId="0" applyFont="1" applyFill="1" applyBorder="1" applyAlignment="1">
      <alignment horizontal="center" vertical="center" wrapText="1"/>
    </xf>
    <xf numFmtId="164" fontId="113" fillId="0" borderId="11" xfId="0" applyNumberFormat="1" applyFont="1" applyFill="1" applyBorder="1" applyAlignment="1">
      <alignment horizontal="center" vertical="center" wrapText="1"/>
    </xf>
    <xf numFmtId="0" fontId="113" fillId="0" borderId="11" xfId="0" applyFont="1" applyFill="1" applyBorder="1" applyAlignment="1">
      <alignment vertical="center" wrapText="1"/>
    </xf>
    <xf numFmtId="1" fontId="113" fillId="0" borderId="11" xfId="0" applyNumberFormat="1" applyFont="1" applyFill="1" applyBorder="1" applyAlignment="1">
      <alignment horizontal="center" vertical="center" wrapText="1"/>
    </xf>
    <xf numFmtId="4" fontId="113" fillId="0" borderId="11" xfId="0" applyNumberFormat="1" applyFont="1" applyFill="1" applyBorder="1" applyAlignment="1">
      <alignment horizontal="center" vertical="center" wrapText="1"/>
    </xf>
    <xf numFmtId="4" fontId="113" fillId="0" borderId="19" xfId="0" applyNumberFormat="1" applyFont="1" applyFill="1" applyBorder="1" applyAlignment="1">
      <alignment horizontal="center" vertical="center" wrapText="1"/>
    </xf>
    <xf numFmtId="0" fontId="0" fillId="44" borderId="0" xfId="0" applyFont="1" applyFill="1" applyAlignment="1">
      <alignment vertical="center"/>
    </xf>
    <xf numFmtId="0" fontId="5" fillId="44" borderId="0" xfId="55" applyFont="1" applyFill="1" applyBorder="1" applyAlignment="1">
      <alignment horizontal="left" vertical="center"/>
      <protection/>
    </xf>
    <xf numFmtId="0" fontId="4" fillId="44" borderId="0" xfId="0" applyFont="1" applyFill="1" applyAlignment="1">
      <alignment vertical="center"/>
    </xf>
    <xf numFmtId="0" fontId="114" fillId="0" borderId="12" xfId="0" applyFont="1" applyFill="1" applyBorder="1" applyAlignment="1">
      <alignment horizontal="center" vertical="center"/>
    </xf>
    <xf numFmtId="0" fontId="114" fillId="0" borderId="11" xfId="54" applyFont="1" applyFill="1" applyBorder="1" applyAlignment="1">
      <alignment horizontal="left" vertical="center" wrapText="1"/>
      <protection/>
    </xf>
    <xf numFmtId="0" fontId="114" fillId="0" borderId="11" xfId="55" applyFont="1" applyFill="1" applyBorder="1" applyAlignment="1" applyProtection="1">
      <alignment horizontal="center" vertical="center" wrapText="1"/>
      <protection/>
    </xf>
    <xf numFmtId="0" fontId="113" fillId="0" borderId="11" xfId="54" applyFont="1" applyFill="1" applyBorder="1" applyAlignment="1">
      <alignment horizontal="left" vertical="center" wrapText="1"/>
      <protection/>
    </xf>
    <xf numFmtId="0" fontId="113" fillId="0" borderId="53" xfId="0" applyFont="1" applyFill="1" applyBorder="1" applyAlignment="1">
      <alignment horizontal="center" vertical="center" wrapText="1"/>
    </xf>
    <xf numFmtId="164" fontId="113" fillId="0" borderId="35" xfId="0" applyNumberFormat="1" applyFont="1" applyFill="1" applyBorder="1" applyAlignment="1">
      <alignment horizontal="center" vertical="center" wrapText="1"/>
    </xf>
    <xf numFmtId="0" fontId="113" fillId="0" borderId="35" xfId="0" applyFont="1" applyFill="1" applyBorder="1" applyAlignment="1">
      <alignment vertical="center" wrapText="1"/>
    </xf>
    <xf numFmtId="1" fontId="113" fillId="0" borderId="35" xfId="0" applyNumberFormat="1" applyFont="1" applyFill="1" applyBorder="1" applyAlignment="1">
      <alignment horizontal="center" vertical="center" wrapText="1"/>
    </xf>
    <xf numFmtId="4" fontId="113" fillId="0" borderId="35" xfId="0" applyNumberFormat="1" applyFont="1" applyFill="1" applyBorder="1" applyAlignment="1">
      <alignment horizontal="center" vertical="center" wrapText="1"/>
    </xf>
    <xf numFmtId="4" fontId="113" fillId="0" borderId="52" xfId="0" applyNumberFormat="1" applyFont="1" applyFill="1" applyBorder="1" applyAlignment="1">
      <alignment horizontal="center" vertical="center" wrapText="1"/>
    </xf>
    <xf numFmtId="0" fontId="113" fillId="0" borderId="54" xfId="55" applyFont="1" applyFill="1" applyBorder="1" applyAlignment="1" applyProtection="1">
      <alignment horizontal="center" vertical="center" wrapText="1"/>
      <protection/>
    </xf>
    <xf numFmtId="0" fontId="119" fillId="0" borderId="55" xfId="0" applyNumberFormat="1" applyFont="1" applyFill="1" applyBorder="1" applyAlignment="1" applyProtection="1">
      <alignment vertical="center"/>
      <protection/>
    </xf>
    <xf numFmtId="0" fontId="120" fillId="0" borderId="55" xfId="55" applyFont="1" applyFill="1" applyBorder="1" applyAlignment="1" applyProtection="1">
      <alignment horizontal="left" vertical="center" wrapText="1"/>
      <protection/>
    </xf>
    <xf numFmtId="0" fontId="120" fillId="0" borderId="55" xfId="55" applyFont="1" applyFill="1" applyBorder="1" applyAlignment="1" applyProtection="1">
      <alignment horizontal="center" vertical="center" wrapText="1"/>
      <protection/>
    </xf>
    <xf numFmtId="4" fontId="120" fillId="0" borderId="55" xfId="55" applyNumberFormat="1" applyFont="1" applyFill="1" applyBorder="1" applyAlignment="1" applyProtection="1">
      <alignment horizontal="center" vertical="center"/>
      <protection locked="0"/>
    </xf>
    <xf numFmtId="4" fontId="120" fillId="0" borderId="56" xfId="55" applyNumberFormat="1" applyFont="1" applyFill="1" applyBorder="1" applyAlignment="1" applyProtection="1">
      <alignment horizontal="center" vertical="center"/>
      <protection locked="0"/>
    </xf>
    <xf numFmtId="0" fontId="114" fillId="0" borderId="54" xfId="55" applyFont="1" applyFill="1" applyBorder="1" applyAlignment="1" applyProtection="1">
      <alignment horizontal="center" vertical="center" wrapText="1"/>
      <protection/>
    </xf>
    <xf numFmtId="0" fontId="120" fillId="0" borderId="55" xfId="55" applyFont="1" applyFill="1" applyBorder="1" applyAlignment="1" applyProtection="1">
      <alignment vertical="center" wrapText="1"/>
      <protection/>
    </xf>
    <xf numFmtId="0" fontId="114" fillId="0" borderId="18" xfId="55" applyFont="1" applyFill="1" applyBorder="1" applyAlignment="1" applyProtection="1">
      <alignment horizontal="center" vertical="center" wrapText="1"/>
      <protection/>
    </xf>
    <xf numFmtId="0" fontId="119" fillId="0" borderId="24" xfId="0" applyNumberFormat="1" applyFont="1" applyFill="1" applyBorder="1" applyAlignment="1" applyProtection="1">
      <alignment vertical="center"/>
      <protection/>
    </xf>
    <xf numFmtId="0" fontId="120" fillId="0" borderId="24" xfId="55" applyFont="1" applyFill="1" applyBorder="1" applyAlignment="1" applyProtection="1">
      <alignment horizontal="left" vertical="center" wrapText="1"/>
      <protection/>
    </xf>
    <xf numFmtId="0" fontId="120" fillId="0" borderId="24" xfId="55" applyFont="1" applyFill="1" applyBorder="1" applyAlignment="1" applyProtection="1">
      <alignment horizontal="center" vertical="center" wrapText="1"/>
      <protection/>
    </xf>
    <xf numFmtId="4" fontId="120" fillId="0" borderId="24" xfId="55" applyNumberFormat="1" applyFont="1" applyFill="1" applyBorder="1" applyAlignment="1" applyProtection="1">
      <alignment horizontal="center" vertical="center"/>
      <protection locked="0"/>
    </xf>
    <xf numFmtId="4" fontId="120" fillId="0" borderId="51" xfId="55" applyNumberFormat="1" applyFont="1" applyFill="1" applyBorder="1" applyAlignment="1" applyProtection="1">
      <alignment horizontal="center" vertical="center"/>
      <protection locked="0"/>
    </xf>
    <xf numFmtId="0" fontId="5" fillId="44" borderId="0" xfId="0" applyFont="1" applyFill="1" applyAlignment="1">
      <alignment vertical="center"/>
    </xf>
    <xf numFmtId="0" fontId="2" fillId="44" borderId="0" xfId="0" applyFont="1" applyFill="1" applyBorder="1" applyAlignment="1">
      <alignment vertical="center"/>
    </xf>
    <xf numFmtId="2" fontId="114" fillId="0" borderId="11" xfId="55" applyNumberFormat="1" applyFont="1" applyFill="1" applyBorder="1" applyAlignment="1">
      <alignment horizontal="center" vertical="center"/>
      <protection/>
    </xf>
    <xf numFmtId="0" fontId="115" fillId="0" borderId="0" xfId="0" applyFont="1" applyFill="1" applyAlignment="1">
      <alignment vertical="center"/>
    </xf>
    <xf numFmtId="2" fontId="115" fillId="0" borderId="11" xfId="0" applyNumberFormat="1" applyFont="1" applyFill="1" applyBorder="1" applyAlignment="1">
      <alignment horizontal="center" vertical="center"/>
    </xf>
    <xf numFmtId="0" fontId="115" fillId="40" borderId="0" xfId="0" applyFont="1" applyFill="1" applyAlignment="1">
      <alignment vertical="center"/>
    </xf>
    <xf numFmtId="0" fontId="115" fillId="34" borderId="0" xfId="0" applyFont="1" applyFill="1" applyAlignment="1">
      <alignment vertical="center"/>
    </xf>
    <xf numFmtId="167" fontId="113" fillId="0" borderId="0" xfId="55" applyNumberFormat="1" applyFont="1" applyFill="1" applyBorder="1" applyAlignment="1">
      <alignment horizontal="left" vertical="center"/>
      <protection/>
    </xf>
    <xf numFmtId="0" fontId="118" fillId="0" borderId="0" xfId="0" applyFont="1" applyFill="1" applyAlignment="1">
      <alignment vertical="center"/>
    </xf>
    <xf numFmtId="0" fontId="118" fillId="40" borderId="0" xfId="0" applyFont="1" applyFill="1" applyAlignment="1">
      <alignment vertical="center"/>
    </xf>
    <xf numFmtId="167" fontId="114" fillId="0" borderId="0" xfId="55" applyNumberFormat="1" applyFont="1" applyFill="1" applyBorder="1" applyAlignment="1">
      <alignment horizontal="left" vertical="center"/>
      <protection/>
    </xf>
    <xf numFmtId="0" fontId="114" fillId="0" borderId="0" xfId="55" applyFont="1" applyFill="1" applyBorder="1" applyAlignment="1">
      <alignment horizontal="left" vertical="center"/>
      <protection/>
    </xf>
    <xf numFmtId="2" fontId="0" fillId="43" borderId="11" xfId="0" applyNumberFormat="1" applyFill="1" applyBorder="1" applyAlignment="1">
      <alignment horizontal="center" vertical="center" wrapText="1"/>
    </xf>
    <xf numFmtId="4" fontId="2" fillId="0" borderId="19" xfId="54" applyNumberFormat="1" applyFont="1" applyFill="1" applyBorder="1" applyAlignment="1">
      <alignment horizontal="center" vertical="center"/>
      <protection/>
    </xf>
    <xf numFmtId="164" fontId="2" fillId="6" borderId="11" xfId="54" applyNumberFormat="1" applyFont="1" applyFill="1" applyBorder="1" applyAlignment="1">
      <alignment horizontal="center" vertical="center" wrapText="1"/>
      <protection/>
    </xf>
    <xf numFmtId="0" fontId="5" fillId="0" borderId="53" xfId="0" applyFont="1" applyFill="1" applyBorder="1" applyAlignment="1">
      <alignment horizontal="center" vertical="center" wrapText="1"/>
    </xf>
    <xf numFmtId="164" fontId="5" fillId="0" borderId="35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 vertical="center" wrapText="1"/>
    </xf>
    <xf numFmtId="4" fontId="5" fillId="0" borderId="52" xfId="0" applyNumberFormat="1" applyFont="1" applyFill="1" applyBorder="1" applyAlignment="1">
      <alignment horizontal="center" vertical="center" wrapText="1"/>
    </xf>
    <xf numFmtId="0" fontId="29" fillId="0" borderId="55" xfId="55" applyFont="1" applyFill="1" applyBorder="1" applyAlignment="1" applyProtection="1">
      <alignment horizontal="left" vertical="center" wrapText="1"/>
      <protection/>
    </xf>
    <xf numFmtId="0" fontId="29" fillId="0" borderId="55" xfId="55" applyFont="1" applyFill="1" applyBorder="1" applyAlignment="1" applyProtection="1">
      <alignment horizontal="center" vertical="center" wrapText="1"/>
      <protection/>
    </xf>
    <xf numFmtId="4" fontId="29" fillId="0" borderId="55" xfId="55" applyNumberFormat="1" applyFont="1" applyFill="1" applyBorder="1" applyAlignment="1" applyProtection="1">
      <alignment horizontal="center" vertical="center"/>
      <protection locked="0"/>
    </xf>
    <xf numFmtId="4" fontId="29" fillId="0" borderId="56" xfId="55" applyNumberFormat="1" applyFont="1" applyFill="1" applyBorder="1" applyAlignment="1" applyProtection="1">
      <alignment horizontal="center" vertical="center"/>
      <protection locked="0"/>
    </xf>
    <xf numFmtId="0" fontId="2" fillId="0" borderId="54" xfId="55" applyFont="1" applyFill="1" applyBorder="1" applyAlignment="1" applyProtection="1">
      <alignment horizontal="center" vertical="center" wrapText="1"/>
      <protection/>
    </xf>
    <xf numFmtId="0" fontId="29" fillId="0" borderId="55" xfId="55" applyFont="1" applyFill="1" applyBorder="1" applyAlignment="1" applyProtection="1">
      <alignment vertical="center" wrapText="1"/>
      <protection/>
    </xf>
    <xf numFmtId="0" fontId="6" fillId="0" borderId="55" xfId="0" applyNumberFormat="1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vertical="center" wrapText="1"/>
    </xf>
    <xf numFmtId="1" fontId="29" fillId="0" borderId="24" xfId="0" applyNumberFormat="1" applyFont="1" applyFill="1" applyBorder="1" applyAlignment="1">
      <alignment horizontal="center" vertical="center" wrapText="1"/>
    </xf>
    <xf numFmtId="4" fontId="29" fillId="0" borderId="24" xfId="0" applyNumberFormat="1" applyFont="1" applyFill="1" applyBorder="1" applyAlignment="1">
      <alignment horizontal="center" vertical="center" wrapText="1"/>
    </xf>
    <xf numFmtId="4" fontId="29" fillId="0" borderId="51" xfId="0" applyNumberFormat="1" applyFont="1" applyFill="1" applyBorder="1" applyAlignment="1">
      <alignment horizontal="center" vertical="center" wrapText="1"/>
    </xf>
    <xf numFmtId="166" fontId="114" fillId="0" borderId="11" xfId="55" applyNumberFormat="1" applyFont="1" applyFill="1" applyBorder="1" applyAlignment="1" applyProtection="1" quotePrefix="1">
      <alignment horizontal="center" vertical="center" wrapText="1"/>
      <protection/>
    </xf>
    <xf numFmtId="0" fontId="114" fillId="0" borderId="11" xfId="55" applyFont="1" applyFill="1" applyBorder="1" applyAlignment="1" applyProtection="1" quotePrefix="1">
      <alignment horizontal="left" vertical="center" wrapText="1"/>
      <protection/>
    </xf>
    <xf numFmtId="166" fontId="113" fillId="0" borderId="11" xfId="55" applyNumberFormat="1" applyFont="1" applyFill="1" applyBorder="1" applyAlignment="1" applyProtection="1" quotePrefix="1">
      <alignment horizontal="center" vertical="center" wrapText="1"/>
      <protection/>
    </xf>
    <xf numFmtId="0" fontId="113" fillId="0" borderId="11" xfId="55" applyFont="1" applyFill="1" applyBorder="1" applyAlignment="1" applyProtection="1">
      <alignment horizontal="left" vertical="center" wrapText="1"/>
      <protection/>
    </xf>
    <xf numFmtId="0" fontId="113" fillId="0" borderId="11" xfId="55" applyFont="1" applyFill="1" applyBorder="1" applyAlignment="1" applyProtection="1">
      <alignment horizontal="center" vertical="center" wrapText="1"/>
      <protection/>
    </xf>
    <xf numFmtId="4" fontId="113" fillId="0" borderId="11" xfId="55" applyNumberFormat="1" applyFont="1" applyFill="1" applyBorder="1" applyAlignment="1">
      <alignment horizontal="center" vertical="center"/>
      <protection/>
    </xf>
    <xf numFmtId="2" fontId="4" fillId="42" borderId="11" xfId="44" applyNumberFormat="1" applyFont="1" applyFill="1" applyBorder="1" applyAlignment="1">
      <alignment horizontal="center" vertical="center" wrapText="1"/>
    </xf>
    <xf numFmtId="2" fontId="27" fillId="22" borderId="17" xfId="0" applyNumberFormat="1" applyFont="1" applyFill="1" applyBorder="1" applyAlignment="1">
      <alignment horizontal="center" vertical="center" wrapText="1"/>
    </xf>
    <xf numFmtId="2" fontId="0" fillId="43" borderId="46" xfId="0" applyNumberFormat="1" applyFont="1" applyFill="1" applyBorder="1" applyAlignment="1">
      <alignment horizontal="center" vertical="center" wrapText="1"/>
    </xf>
    <xf numFmtId="2" fontId="2" fillId="6" borderId="11" xfId="0" applyNumberFormat="1" applyFont="1" applyFill="1" applyBorder="1" applyAlignment="1">
      <alignment horizontal="center" vertical="center"/>
    </xf>
    <xf numFmtId="0" fontId="117" fillId="0" borderId="0" xfId="0" applyFont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42" borderId="0" xfId="44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27" fillId="22" borderId="48" xfId="0" applyNumberFormat="1" applyFont="1" applyFill="1" applyBorder="1" applyAlignment="1">
      <alignment vertical="center"/>
    </xf>
    <xf numFmtId="2" fontId="4" fillId="42" borderId="54" xfId="44" applyNumberFormat="1" applyFont="1" applyFill="1" applyBorder="1" applyAlignment="1">
      <alignment vertical="center" wrapText="1"/>
    </xf>
    <xf numFmtId="2" fontId="4" fillId="42" borderId="11" xfId="44" applyNumberFormat="1" applyFont="1" applyFill="1" applyBorder="1" applyAlignment="1">
      <alignment vertical="center" wrapText="1"/>
    </xf>
    <xf numFmtId="2" fontId="0" fillId="0" borderId="57" xfId="44" applyNumberFormat="1" applyFont="1" applyBorder="1" applyAlignment="1">
      <alignment vertical="center" wrapText="1"/>
    </xf>
    <xf numFmtId="2" fontId="0" fillId="0" borderId="42" xfId="44" applyNumberFormat="1" applyFont="1" applyBorder="1" applyAlignment="1">
      <alignment vertical="center" wrapText="1"/>
    </xf>
    <xf numFmtId="2" fontId="0" fillId="0" borderId="58" xfId="44" applyNumberFormat="1" applyFont="1" applyBorder="1" applyAlignment="1">
      <alignment vertical="center" wrapText="1"/>
    </xf>
    <xf numFmtId="2" fontId="0" fillId="0" borderId="0" xfId="44" applyNumberFormat="1" applyFont="1" applyBorder="1" applyAlignment="1">
      <alignment vertical="center" wrapText="1"/>
    </xf>
    <xf numFmtId="2" fontId="0" fillId="0" borderId="10" xfId="44" applyNumberFormat="1" applyFont="1" applyBorder="1" applyAlignment="1">
      <alignment vertical="center" wrapText="1"/>
    </xf>
    <xf numFmtId="2" fontId="0" fillId="0" borderId="47" xfId="44" applyNumberFormat="1" applyFont="1" applyBorder="1" applyAlignment="1">
      <alignment vertical="center" wrapText="1"/>
    </xf>
    <xf numFmtId="2" fontId="0" fillId="0" borderId="45" xfId="44" applyNumberFormat="1" applyFont="1" applyBorder="1" applyAlignment="1">
      <alignment vertical="center" wrapText="1"/>
    </xf>
    <xf numFmtId="2" fontId="0" fillId="0" borderId="0" xfId="44" applyNumberFormat="1" applyFont="1" applyBorder="1" applyAlignment="1">
      <alignment horizontal="right" vertical="center" wrapText="1"/>
    </xf>
    <xf numFmtId="1" fontId="4" fillId="42" borderId="11" xfId="44" applyNumberFormat="1" applyFont="1" applyFill="1" applyBorder="1" applyAlignment="1">
      <alignment horizontal="left" vertical="center" wrapText="1"/>
    </xf>
    <xf numFmtId="1" fontId="4" fillId="42" borderId="24" xfId="44" applyNumberFormat="1" applyFont="1" applyFill="1" applyBorder="1" applyAlignment="1">
      <alignment horizontal="center" vertical="center" wrapText="1"/>
    </xf>
    <xf numFmtId="2" fontId="0" fillId="0" borderId="11" xfId="44" applyNumberFormat="1" applyFont="1" applyBorder="1" applyAlignment="1">
      <alignment horizontal="left" vertical="center" wrapText="1"/>
    </xf>
    <xf numFmtId="2" fontId="0" fillId="0" borderId="59" xfId="44" applyNumberFormat="1" applyFont="1" applyBorder="1" applyAlignment="1">
      <alignment vertical="center" wrapText="1"/>
    </xf>
    <xf numFmtId="2" fontId="0" fillId="0" borderId="15" xfId="44" applyNumberFormat="1" applyFont="1" applyBorder="1" applyAlignment="1">
      <alignment vertical="center" wrapText="1"/>
    </xf>
    <xf numFmtId="2" fontId="0" fillId="0" borderId="14" xfId="44" applyNumberFormat="1" applyFont="1" applyBorder="1" applyAlignment="1">
      <alignment vertical="center" wrapText="1"/>
    </xf>
    <xf numFmtId="2" fontId="0" fillId="0" borderId="0" xfId="44" applyNumberFormat="1" applyFont="1" applyFill="1" applyBorder="1" applyAlignment="1">
      <alignment horizontal="center" vertical="center" wrapText="1"/>
    </xf>
    <xf numFmtId="2" fontId="4" fillId="0" borderId="42" xfId="44" applyNumberFormat="1" applyFont="1" applyFill="1" applyBorder="1" applyAlignment="1">
      <alignment vertical="center" wrapText="1"/>
    </xf>
    <xf numFmtId="2" fontId="0" fillId="0" borderId="42" xfId="44" applyNumberFormat="1" applyFont="1" applyFill="1" applyBorder="1" applyAlignment="1">
      <alignment horizontal="center" vertical="center" wrapText="1"/>
    </xf>
    <xf numFmtId="2" fontId="4" fillId="0" borderId="0" xfId="44" applyNumberFormat="1" applyFont="1" applyFill="1" applyBorder="1" applyAlignment="1">
      <alignment vertical="center" wrapText="1"/>
    </xf>
    <xf numFmtId="2" fontId="0" fillId="0" borderId="14" xfId="44" applyNumberFormat="1" applyFont="1" applyBorder="1" applyAlignment="1">
      <alignment horizontal="left" vertical="center" wrapText="1"/>
    </xf>
    <xf numFmtId="2" fontId="0" fillId="0" borderId="11" xfId="44" applyNumberFormat="1" applyFont="1" applyBorder="1" applyAlignment="1">
      <alignment vertical="center" wrapText="1"/>
    </xf>
    <xf numFmtId="2" fontId="114" fillId="6" borderId="11" xfId="0" applyNumberFormat="1" applyFont="1" applyFill="1" applyBorder="1" applyAlignment="1">
      <alignment horizontal="center" vertical="center"/>
    </xf>
    <xf numFmtId="0" fontId="2" fillId="13" borderId="11" xfId="54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1" xfId="54" applyNumberFormat="1" applyFont="1" applyFill="1" applyBorder="1" applyAlignment="1">
      <alignment horizontal="center" vertical="center"/>
      <protection/>
    </xf>
    <xf numFmtId="2" fontId="5" fillId="0" borderId="11" xfId="54" applyNumberFormat="1" applyFont="1" applyFill="1" applyBorder="1" applyAlignment="1">
      <alignment horizontal="center" vertical="center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29" fillId="0" borderId="11" xfId="55" applyNumberFormat="1" applyFont="1" applyFill="1" applyBorder="1" applyAlignment="1" applyProtection="1">
      <alignment horizontal="center" vertical="center"/>
      <protection locked="0"/>
    </xf>
    <xf numFmtId="2" fontId="29" fillId="0" borderId="11" xfId="0" applyNumberFormat="1" applyFont="1" applyFill="1" applyBorder="1" applyAlignment="1">
      <alignment horizontal="center" vertical="center" wrapText="1"/>
    </xf>
    <xf numFmtId="2" fontId="5" fillId="0" borderId="11" xfId="55" applyNumberFormat="1" applyFont="1" applyFill="1" applyBorder="1" applyAlignment="1">
      <alignment horizontal="center" vertical="center"/>
      <protection/>
    </xf>
    <xf numFmtId="2" fontId="113" fillId="0" borderId="11" xfId="55" applyNumberFormat="1" applyFont="1" applyFill="1" applyBorder="1" applyAlignment="1">
      <alignment horizontal="center" vertical="center"/>
      <protection/>
    </xf>
    <xf numFmtId="2" fontId="4" fillId="0" borderId="0" xfId="0" applyNumberFormat="1" applyFont="1" applyAlignment="1">
      <alignment horizontal="center" vertical="center"/>
    </xf>
    <xf numFmtId="43" fontId="2" fillId="0" borderId="11" xfId="42" applyFont="1" applyFill="1" applyBorder="1" applyAlignment="1">
      <alignment horizontal="center" vertical="center" wrapText="1"/>
    </xf>
    <xf numFmtId="43" fontId="5" fillId="0" borderId="11" xfId="42" applyFont="1" applyFill="1" applyBorder="1" applyAlignment="1">
      <alignment horizontal="center" vertical="center" wrapText="1"/>
    </xf>
    <xf numFmtId="43" fontId="2" fillId="0" borderId="11" xfId="42" applyFont="1" applyFill="1" applyBorder="1" applyAlignment="1">
      <alignment horizontal="center" vertical="center"/>
    </xf>
    <xf numFmtId="43" fontId="5" fillId="0" borderId="11" xfId="42" applyFont="1" applyFill="1" applyBorder="1" applyAlignment="1">
      <alignment horizontal="center" vertical="center"/>
    </xf>
    <xf numFmtId="43" fontId="29" fillId="0" borderId="11" xfId="42" applyFont="1" applyFill="1" applyBorder="1" applyAlignment="1" applyProtection="1">
      <alignment horizontal="center" vertical="center"/>
      <protection locked="0"/>
    </xf>
    <xf numFmtId="43" fontId="29" fillId="0" borderId="11" xfId="42" applyFont="1" applyFill="1" applyBorder="1" applyAlignment="1">
      <alignment horizontal="center" vertical="center" wrapText="1"/>
    </xf>
    <xf numFmtId="43" fontId="114" fillId="0" borderId="11" xfId="42" applyFont="1" applyFill="1" applyBorder="1" applyAlignment="1">
      <alignment horizontal="center" vertical="center"/>
    </xf>
    <xf numFmtId="43" fontId="113" fillId="0" borderId="11" xfId="42" applyFont="1" applyFill="1" applyBorder="1" applyAlignment="1">
      <alignment horizontal="center" vertical="center"/>
    </xf>
    <xf numFmtId="43" fontId="27" fillId="42" borderId="11" xfId="42" applyFont="1" applyFill="1" applyBorder="1" applyAlignment="1">
      <alignment vertical="center"/>
    </xf>
    <xf numFmtId="43" fontId="4" fillId="0" borderId="0" xfId="42" applyFont="1" applyAlignment="1">
      <alignment horizontal="center" vertical="center"/>
    </xf>
    <xf numFmtId="4" fontId="18" fillId="0" borderId="11" xfId="53" applyNumberFormat="1" applyFont="1" applyFill="1" applyBorder="1" applyAlignment="1">
      <alignment horizontal="center" vertical="center"/>
      <protection/>
    </xf>
    <xf numFmtId="43" fontId="0" fillId="0" borderId="0" xfId="0" applyNumberFormat="1" applyFont="1" applyAlignment="1">
      <alignment vertical="center"/>
    </xf>
    <xf numFmtId="0" fontId="16" fillId="38" borderId="11" xfId="53" applyFont="1" applyFill="1" applyBorder="1" applyAlignment="1">
      <alignment horizontal="center" vertical="center" wrapText="1"/>
      <protection/>
    </xf>
    <xf numFmtId="4" fontId="16" fillId="36" borderId="11" xfId="53" applyNumberFormat="1" applyFont="1" applyFill="1" applyBorder="1" applyAlignment="1">
      <alignment horizontal="center" vertical="center"/>
      <protection/>
    </xf>
    <xf numFmtId="4" fontId="16" fillId="0" borderId="11" xfId="53" applyNumberFormat="1" applyFont="1" applyFill="1" applyBorder="1" applyAlignment="1">
      <alignment horizontal="center" vertical="center"/>
      <protection/>
    </xf>
    <xf numFmtId="2" fontId="27" fillId="0" borderId="0" xfId="0" applyNumberFormat="1" applyFont="1" applyBorder="1" applyAlignment="1">
      <alignment vertical="center"/>
    </xf>
    <xf numFmtId="0" fontId="2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3" fontId="47" fillId="14" borderId="11" xfId="42" applyFont="1" applyFill="1" applyBorder="1" applyAlignment="1">
      <alignment vertical="center" wrapText="1"/>
    </xf>
    <xf numFmtId="4" fontId="47" fillId="14" borderId="11" xfId="0" applyNumberFormat="1" applyFont="1" applyFill="1" applyBorder="1" applyAlignment="1">
      <alignment horizontal="center" vertical="center"/>
    </xf>
    <xf numFmtId="43" fontId="47" fillId="15" borderId="11" xfId="42" applyFont="1" applyFill="1" applyBorder="1" applyAlignment="1">
      <alignment vertical="center" wrapText="1"/>
    </xf>
    <xf numFmtId="4" fontId="47" fillId="15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7" fillId="0" borderId="11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2" fontId="114" fillId="42" borderId="11" xfId="44" applyNumberFormat="1" applyFont="1" applyFill="1" applyBorder="1" applyAlignment="1">
      <alignment horizontal="center" vertical="center" wrapText="1"/>
    </xf>
    <xf numFmtId="2" fontId="113" fillId="0" borderId="0" xfId="0" applyNumberFormat="1" applyFont="1" applyAlignment="1">
      <alignment horizontal="center"/>
    </xf>
    <xf numFmtId="0" fontId="113" fillId="0" borderId="0" xfId="0" applyFont="1" applyAlignment="1">
      <alignment/>
    </xf>
    <xf numFmtId="2" fontId="113" fillId="0" borderId="35" xfId="44" applyNumberFormat="1" applyFont="1" applyBorder="1" applyAlignment="1">
      <alignment horizontal="center" vertical="center" wrapText="1"/>
    </xf>
    <xf numFmtId="2" fontId="113" fillId="0" borderId="11" xfId="54" applyNumberFormat="1" applyFont="1" applyFill="1" applyBorder="1" applyAlignment="1">
      <alignment horizontal="center" vertical="center"/>
      <protection/>
    </xf>
    <xf numFmtId="0" fontId="118" fillId="0" borderId="0" xfId="0" applyFont="1" applyAlignment="1">
      <alignment vertical="center"/>
    </xf>
    <xf numFmtId="1" fontId="115" fillId="42" borderId="11" xfId="44" applyNumberFormat="1" applyFont="1" applyFill="1" applyBorder="1" applyAlignment="1">
      <alignment horizontal="center" vertical="center" wrapText="1"/>
    </xf>
    <xf numFmtId="0" fontId="118" fillId="0" borderId="0" xfId="0" applyFont="1" applyAlignment="1">
      <alignment/>
    </xf>
    <xf numFmtId="2" fontId="115" fillId="6" borderId="11" xfId="0" applyNumberFormat="1" applyFont="1" applyFill="1" applyBorder="1" applyAlignment="1">
      <alignment horizontal="center" vertical="center"/>
    </xf>
    <xf numFmtId="2" fontId="115" fillId="42" borderId="11" xfId="44" applyNumberFormat="1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vertical="center"/>
    </xf>
    <xf numFmtId="2" fontId="121" fillId="0" borderId="0" xfId="0" applyNumberFormat="1" applyFont="1" applyBorder="1" applyAlignment="1">
      <alignment vertical="center"/>
    </xf>
    <xf numFmtId="2" fontId="114" fillId="0" borderId="11" xfId="0" applyNumberFormat="1" applyFont="1" applyFill="1" applyBorder="1" applyAlignment="1">
      <alignment horizontal="center" vertical="center" wrapText="1"/>
    </xf>
    <xf numFmtId="0" fontId="113" fillId="0" borderId="11" xfId="0" applyFont="1" applyFill="1" applyBorder="1" applyAlignment="1">
      <alignment horizontal="center" vertical="center" wrapText="1"/>
    </xf>
    <xf numFmtId="2" fontId="115" fillId="43" borderId="11" xfId="0" applyNumberFormat="1" applyFont="1" applyFill="1" applyBorder="1" applyAlignment="1">
      <alignment horizontal="center" vertical="center" wrapText="1"/>
    </xf>
    <xf numFmtId="2" fontId="115" fillId="43" borderId="35" xfId="0" applyNumberFormat="1" applyFont="1" applyFill="1" applyBorder="1" applyAlignment="1">
      <alignment horizontal="center" vertical="center" wrapText="1"/>
    </xf>
    <xf numFmtId="2" fontId="113" fillId="0" borderId="11" xfId="0" applyNumberFormat="1" applyFont="1" applyBorder="1" applyAlignment="1">
      <alignment horizontal="center" vertical="center" wrapText="1"/>
    </xf>
    <xf numFmtId="2" fontId="114" fillId="0" borderId="0" xfId="0" applyNumberFormat="1" applyFont="1" applyBorder="1" applyAlignment="1">
      <alignment vertical="center"/>
    </xf>
    <xf numFmtId="2" fontId="113" fillId="0" borderId="0" xfId="0" applyNumberFormat="1" applyFont="1" applyBorder="1" applyAlignment="1">
      <alignment horizontal="center" vertical="center" wrapText="1"/>
    </xf>
    <xf numFmtId="4" fontId="122" fillId="0" borderId="11" xfId="54" applyNumberFormat="1" applyFont="1" applyFill="1" applyBorder="1" applyAlignment="1">
      <alignment horizontal="center" vertical="center"/>
      <protection/>
    </xf>
    <xf numFmtId="4" fontId="123" fillId="0" borderId="11" xfId="54" applyNumberFormat="1" applyFont="1" applyFill="1" applyBorder="1" applyAlignment="1">
      <alignment horizontal="center" vertical="center"/>
      <protection/>
    </xf>
    <xf numFmtId="4" fontId="123" fillId="0" borderId="11" xfId="0" applyNumberFormat="1" applyFont="1" applyFill="1" applyBorder="1" applyAlignment="1">
      <alignment horizontal="center" vertical="center" wrapText="1"/>
    </xf>
    <xf numFmtId="2" fontId="0" fillId="0" borderId="11" xfId="44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4" fillId="42" borderId="11" xfId="44" applyNumberFormat="1" applyFont="1" applyFill="1" applyBorder="1" applyAlignment="1">
      <alignment horizontal="center" vertical="center" wrapText="1"/>
    </xf>
    <xf numFmtId="0" fontId="114" fillId="0" borderId="11" xfId="55" applyFont="1" applyFill="1" applyBorder="1" applyAlignment="1" applyProtection="1">
      <alignment horizontal="left" vertical="center" wrapText="1"/>
      <protection/>
    </xf>
    <xf numFmtId="4" fontId="114" fillId="0" borderId="11" xfId="0" applyNumberFormat="1" applyFont="1" applyFill="1" applyBorder="1" applyAlignment="1">
      <alignment horizontal="center" vertical="center" wrapText="1"/>
    </xf>
    <xf numFmtId="2" fontId="0" fillId="0" borderId="0" xfId="44" applyNumberFormat="1" applyFont="1" applyBorder="1" applyAlignment="1">
      <alignment horizontal="left" vertical="center" wrapText="1"/>
    </xf>
    <xf numFmtId="2" fontId="0" fillId="0" borderId="10" xfId="44" applyNumberFormat="1" applyFont="1" applyBorder="1" applyAlignment="1">
      <alignment horizontal="left" vertical="center" wrapText="1"/>
    </xf>
    <xf numFmtId="0" fontId="2" fillId="40" borderId="0" xfId="55" applyFont="1" applyFill="1" applyBorder="1" applyAlignment="1">
      <alignment horizontal="left" vertical="center"/>
      <protection/>
    </xf>
    <xf numFmtId="0" fontId="122" fillId="0" borderId="11" xfId="55" applyFont="1" applyFill="1" applyBorder="1" applyAlignment="1" applyProtection="1">
      <alignment horizontal="center" vertical="center" wrapText="1"/>
      <protection/>
    </xf>
    <xf numFmtId="0" fontId="122" fillId="0" borderId="11" xfId="55" applyFont="1" applyFill="1" applyBorder="1" applyAlignment="1" applyProtection="1">
      <alignment horizontal="left" vertical="center" wrapText="1"/>
      <protection/>
    </xf>
    <xf numFmtId="4" fontId="122" fillId="0" borderId="11" xfId="55" applyNumberFormat="1" applyFont="1" applyFill="1" applyBorder="1" applyAlignment="1">
      <alignment horizontal="center" vertical="center"/>
      <protection/>
    </xf>
    <xf numFmtId="0" fontId="123" fillId="0" borderId="11" xfId="55" applyFont="1" applyFill="1" applyBorder="1" applyAlignment="1" applyProtection="1">
      <alignment horizontal="left" vertical="center" wrapText="1"/>
      <protection/>
    </xf>
    <xf numFmtId="0" fontId="123" fillId="0" borderId="11" xfId="55" applyFont="1" applyFill="1" applyBorder="1" applyAlignment="1" applyProtection="1">
      <alignment horizontal="center" vertical="center" wrapText="1"/>
      <protection/>
    </xf>
    <xf numFmtId="4" fontId="123" fillId="0" borderId="11" xfId="55" applyNumberFormat="1" applyFont="1" applyFill="1" applyBorder="1" applyAlignment="1">
      <alignment horizontal="center" vertical="center"/>
      <protection/>
    </xf>
    <xf numFmtId="0" fontId="124" fillId="0" borderId="0" xfId="0" applyFont="1" applyAlignment="1">
      <alignment vertical="center"/>
    </xf>
    <xf numFmtId="0" fontId="113" fillId="44" borderId="0" xfId="55" applyFont="1" applyFill="1" applyBorder="1" applyAlignment="1">
      <alignment horizontal="left" vertical="center"/>
      <protection/>
    </xf>
    <xf numFmtId="0" fontId="2" fillId="0" borderId="11" xfId="56" applyFont="1" applyFill="1" applyBorder="1" applyAlignment="1" applyProtection="1">
      <alignment horizontal="left" vertical="center" wrapText="1"/>
      <protection/>
    </xf>
    <xf numFmtId="0" fontId="2" fillId="0" borderId="11" xfId="56" applyFont="1" applyFill="1" applyBorder="1" applyAlignment="1" applyProtection="1">
      <alignment horizontal="center" vertical="center" wrapText="1"/>
      <protection/>
    </xf>
    <xf numFmtId="4" fontId="2" fillId="0" borderId="11" xfId="56" applyNumberFormat="1" applyFont="1" applyFill="1" applyBorder="1" applyAlignment="1">
      <alignment horizontal="center" vertical="center"/>
      <protection/>
    </xf>
    <xf numFmtId="0" fontId="5" fillId="0" borderId="11" xfId="56" applyFont="1" applyFill="1" applyBorder="1" applyAlignment="1" applyProtection="1">
      <alignment horizontal="left" vertical="center" wrapText="1"/>
      <protection/>
    </xf>
    <xf numFmtId="0" fontId="5" fillId="0" borderId="11" xfId="56" applyFont="1" applyFill="1" applyBorder="1" applyAlignment="1" applyProtection="1">
      <alignment horizontal="center" vertical="center" wrapText="1"/>
      <protection/>
    </xf>
    <xf numFmtId="4" fontId="5" fillId="0" borderId="11" xfId="56" applyNumberFormat="1" applyFont="1" applyFill="1" applyBorder="1" applyAlignment="1">
      <alignment horizontal="center" vertical="center"/>
      <protection/>
    </xf>
    <xf numFmtId="0" fontId="113" fillId="0" borderId="11" xfId="55" applyFont="1" applyFill="1" applyBorder="1" applyAlignment="1" applyProtection="1">
      <alignment horizontal="left" wrapText="1"/>
      <protection/>
    </xf>
    <xf numFmtId="0" fontId="2" fillId="6" borderId="1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64" fontId="7" fillId="0" borderId="11" xfId="54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4" fontId="5" fillId="0" borderId="11" xfId="0" applyNumberFormat="1" applyFont="1" applyFill="1" applyBorder="1" applyAlignment="1" quotePrefix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164" fontId="5" fillId="0" borderId="11" xfId="54" applyNumberFormat="1" applyFont="1" applyFill="1" applyBorder="1" applyAlignment="1">
      <alignment horizontal="center" vertical="center" wrapText="1"/>
      <protection/>
    </xf>
    <xf numFmtId="0" fontId="5" fillId="0" borderId="11" xfId="52" applyFont="1" applyBorder="1" applyAlignment="1">
      <alignment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52" applyFont="1" applyBorder="1" applyAlignment="1">
      <alignment horizontal="center" vertical="center"/>
      <protection/>
    </xf>
    <xf numFmtId="0" fontId="2" fillId="6" borderId="14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vertical="center" wrapText="1"/>
      <protection/>
    </xf>
    <xf numFmtId="0" fontId="2" fillId="44" borderId="0" xfId="0" applyFont="1" applyFill="1" applyBorder="1" applyAlignment="1">
      <alignment vertical="center"/>
    </xf>
    <xf numFmtId="0" fontId="2" fillId="44" borderId="0" xfId="0" applyFont="1" applyFill="1" applyBorder="1" applyAlignment="1">
      <alignment vertical="center"/>
    </xf>
    <xf numFmtId="0" fontId="2" fillId="44" borderId="0" xfId="0" applyFont="1" applyFill="1" applyBorder="1" applyAlignment="1">
      <alignment vertical="center"/>
    </xf>
    <xf numFmtId="0" fontId="58" fillId="0" borderId="11" xfId="0" applyFont="1" applyBorder="1" applyAlignment="1">
      <alignment horizontal="center" vertical="center"/>
    </xf>
    <xf numFmtId="4" fontId="58" fillId="0" borderId="11" xfId="0" applyNumberFormat="1" applyFont="1" applyBorder="1" applyAlignment="1">
      <alignment horizontal="center" vertical="center"/>
    </xf>
    <xf numFmtId="4" fontId="2" fillId="0" borderId="11" xfId="54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2" fillId="0" borderId="11" xfId="54" applyNumberFormat="1" applyFont="1" applyFill="1" applyBorder="1" applyAlignment="1">
      <alignment horizontal="center" vertical="center" wrapText="1"/>
      <protection/>
    </xf>
    <xf numFmtId="49" fontId="2" fillId="13" borderId="11" xfId="54" applyNumberFormat="1" applyFont="1" applyFill="1" applyBorder="1" applyAlignment="1">
      <alignment horizontal="center" vertical="center" wrapText="1"/>
      <protection/>
    </xf>
    <xf numFmtId="49" fontId="2" fillId="35" borderId="11" xfId="0" applyNumberFormat="1" applyFont="1" applyFill="1" applyBorder="1" applyAlignment="1">
      <alignment horizontal="center" vertical="center" wrapText="1"/>
    </xf>
    <xf numFmtId="49" fontId="2" fillId="6" borderId="11" xfId="54" applyNumberFormat="1" applyFont="1" applyFill="1" applyBorder="1" applyAlignment="1">
      <alignment horizontal="center" vertical="center" wrapText="1"/>
      <protection/>
    </xf>
    <xf numFmtId="49" fontId="114" fillId="0" borderId="11" xfId="54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/>
    </xf>
    <xf numFmtId="49" fontId="5" fillId="0" borderId="11" xfId="55" applyNumberFormat="1" applyFont="1" applyFill="1" applyBorder="1" applyAlignment="1" applyProtection="1">
      <alignment horizontal="center" vertical="center" wrapText="1"/>
      <protection/>
    </xf>
    <xf numFmtId="49" fontId="2" fillId="0" borderId="11" xfId="55" applyNumberFormat="1" applyFont="1" applyFill="1" applyBorder="1" applyAlignment="1" applyProtection="1">
      <alignment horizontal="center" vertical="center" wrapText="1"/>
      <protection/>
    </xf>
    <xf numFmtId="49" fontId="122" fillId="6" borderId="11" xfId="54" applyNumberFormat="1" applyFont="1" applyFill="1" applyBorder="1" applyAlignment="1">
      <alignment horizontal="center" vertical="center" wrapText="1"/>
      <protection/>
    </xf>
    <xf numFmtId="49" fontId="122" fillId="0" borderId="11" xfId="55" applyNumberFormat="1" applyFont="1" applyFill="1" applyBorder="1" applyAlignment="1" applyProtection="1">
      <alignment horizontal="center" vertical="center" wrapText="1"/>
      <protection/>
    </xf>
    <xf numFmtId="49" fontId="114" fillId="0" borderId="11" xfId="55" applyNumberFormat="1" applyFont="1" applyFill="1" applyBorder="1" applyAlignment="1" applyProtection="1">
      <alignment horizontal="center" vertical="center" wrapText="1"/>
      <protection/>
    </xf>
    <xf numFmtId="49" fontId="114" fillId="6" borderId="11" xfId="54" applyNumberFormat="1" applyFont="1" applyFill="1" applyBorder="1" applyAlignment="1">
      <alignment horizontal="center" vertical="center" wrapText="1"/>
      <protection/>
    </xf>
    <xf numFmtId="49" fontId="113" fillId="0" borderId="11" xfId="55" applyNumberFormat="1" applyFont="1" applyFill="1" applyBorder="1" applyAlignment="1" applyProtection="1">
      <alignment horizontal="center" vertical="center" wrapText="1"/>
      <protection/>
    </xf>
    <xf numFmtId="49" fontId="2" fillId="0" borderId="11" xfId="56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>
      <alignment horizontal="center" vertical="center"/>
    </xf>
    <xf numFmtId="49" fontId="2" fillId="0" borderId="11" xfId="54" applyNumberFormat="1" applyFont="1" applyFill="1" applyBorder="1" applyAlignment="1" quotePrefix="1">
      <alignment horizontal="center" vertical="center" wrapText="1"/>
      <protection/>
    </xf>
    <xf numFmtId="49" fontId="2" fillId="6" borderId="11" xfId="54" applyNumberFormat="1" applyFont="1" applyFill="1" applyBorder="1" applyAlignment="1" quotePrefix="1">
      <alignment horizontal="center" vertical="center" wrapText="1"/>
      <protection/>
    </xf>
    <xf numFmtId="49" fontId="5" fillId="0" borderId="11" xfId="54" applyNumberFormat="1" applyFont="1" applyFill="1" applyBorder="1" applyAlignment="1" quotePrefix="1">
      <alignment horizontal="center" vertical="center" wrapText="1"/>
      <protection/>
    </xf>
    <xf numFmtId="49" fontId="114" fillId="0" borderId="11" xfId="54" applyNumberFormat="1" applyFont="1" applyFill="1" applyBorder="1" applyAlignment="1" quotePrefix="1">
      <alignment horizontal="center" vertical="center" wrapText="1"/>
      <protection/>
    </xf>
    <xf numFmtId="49" fontId="113" fillId="0" borderId="11" xfId="54" applyNumberFormat="1" applyFont="1" applyFill="1" applyBorder="1" applyAlignment="1" quotePrefix="1">
      <alignment horizontal="center" vertical="center" wrapText="1"/>
      <protection/>
    </xf>
    <xf numFmtId="49" fontId="113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 applyProtection="1">
      <alignment vertical="center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49" fontId="2" fillId="0" borderId="11" xfId="55" applyNumberFormat="1" applyFont="1" applyFill="1" applyBorder="1" applyAlignment="1" applyProtection="1" quotePrefix="1">
      <alignment horizontal="center" vertical="center" wrapText="1"/>
      <protection/>
    </xf>
    <xf numFmtId="49" fontId="5" fillId="0" borderId="11" xfId="55" applyNumberFormat="1" applyFont="1" applyFill="1" applyBorder="1" applyAlignment="1" applyProtection="1" quotePrefix="1">
      <alignment horizontal="center" vertical="center" wrapText="1"/>
      <protection/>
    </xf>
    <xf numFmtId="49" fontId="114" fillId="0" borderId="11" xfId="55" applyNumberFormat="1" applyFont="1" applyFill="1" applyBorder="1" applyAlignment="1" applyProtection="1" quotePrefix="1">
      <alignment horizontal="center" vertical="center" wrapText="1"/>
      <protection/>
    </xf>
    <xf numFmtId="49" fontId="113" fillId="0" borderId="11" xfId="55" applyNumberFormat="1" applyFont="1" applyFill="1" applyBorder="1" applyAlignment="1" applyProtection="1" quotePrefix="1">
      <alignment horizontal="center" vertical="center" wrapText="1"/>
      <protection/>
    </xf>
    <xf numFmtId="49" fontId="5" fillId="0" borderId="11" xfId="56" applyNumberFormat="1" applyFont="1" applyFill="1" applyBorder="1" applyAlignment="1" applyProtection="1" quotePrefix="1">
      <alignment horizontal="center" vertical="center" wrapText="1"/>
      <protection/>
    </xf>
    <xf numFmtId="49" fontId="113" fillId="0" borderId="11" xfId="56" applyNumberFormat="1" applyFont="1" applyFill="1" applyBorder="1" applyAlignment="1" applyProtection="1" quotePrefix="1">
      <alignment horizontal="center" vertical="center" wrapText="1"/>
      <protection/>
    </xf>
    <xf numFmtId="49" fontId="2" fillId="0" borderId="11" xfId="56" applyNumberFormat="1" applyFont="1" applyFill="1" applyBorder="1" applyAlignment="1" applyProtection="1" quotePrefix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57" fillId="0" borderId="11" xfId="0" applyNumberFormat="1" applyFont="1" applyFill="1" applyBorder="1" applyAlignment="1">
      <alignment horizontal="center" vertical="center" wrapText="1"/>
    </xf>
    <xf numFmtId="49" fontId="2" fillId="6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2" fillId="6" borderId="0" xfId="0" applyFont="1" applyFill="1" applyBorder="1" applyAlignment="1">
      <alignment horizontal="left" vertical="center" wrapText="1"/>
    </xf>
    <xf numFmtId="4" fontId="71" fillId="0" borderId="11" xfId="55" applyNumberFormat="1" applyFont="1" applyFill="1" applyBorder="1" applyAlignment="1" applyProtection="1">
      <alignment horizontal="center" vertical="center"/>
      <protection locked="0"/>
    </xf>
    <xf numFmtId="4" fontId="71" fillId="0" borderId="11" xfId="0" applyNumberFormat="1" applyFont="1" applyFill="1" applyBorder="1" applyAlignment="1">
      <alignment horizontal="center" vertical="center" wrapText="1"/>
    </xf>
    <xf numFmtId="4" fontId="57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43" fontId="71" fillId="0" borderId="11" xfId="42" applyFont="1" applyFill="1" applyBorder="1" applyAlignment="1" applyProtection="1">
      <alignment horizontal="center" vertical="center"/>
      <protection locked="0"/>
    </xf>
    <xf numFmtId="43" fontId="71" fillId="0" borderId="11" xfId="42" applyFont="1" applyFill="1" applyBorder="1" applyAlignment="1">
      <alignment horizontal="center" vertical="center" wrapText="1"/>
    </xf>
    <xf numFmtId="43" fontId="122" fillId="0" borderId="11" xfId="42" applyFont="1" applyFill="1" applyBorder="1" applyAlignment="1">
      <alignment horizontal="center" vertical="center"/>
    </xf>
    <xf numFmtId="43" fontId="57" fillId="0" borderId="11" xfId="42" applyFont="1" applyBorder="1" applyAlignment="1">
      <alignment horizontal="center" vertical="center"/>
    </xf>
    <xf numFmtId="43" fontId="2" fillId="6" borderId="11" xfId="42" applyFont="1" applyFill="1" applyBorder="1" applyAlignment="1">
      <alignment horizontal="left" vertical="center" wrapText="1"/>
    </xf>
    <xf numFmtId="43" fontId="2" fillId="0" borderId="11" xfId="42" applyFont="1" applyBorder="1" applyAlignment="1">
      <alignment horizontal="center" vertical="center" wrapText="1"/>
    </xf>
    <xf numFmtId="43" fontId="2" fillId="0" borderId="11" xfId="42" applyFont="1" applyBorder="1" applyAlignment="1">
      <alignment horizontal="center" vertical="center"/>
    </xf>
    <xf numFmtId="43" fontId="2" fillId="0" borderId="0" xfId="55" applyNumberFormat="1" applyFont="1" applyFill="1" applyBorder="1" applyAlignment="1">
      <alignment horizontal="left" vertical="center"/>
      <protection/>
    </xf>
    <xf numFmtId="4" fontId="2" fillId="6" borderId="11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3" fontId="2" fillId="40" borderId="0" xfId="55" applyNumberFormat="1" applyFont="1" applyFill="1" applyBorder="1" applyAlignment="1">
      <alignment horizontal="left" vertical="center"/>
      <protection/>
    </xf>
    <xf numFmtId="0" fontId="2" fillId="0" borderId="11" xfId="52" applyFont="1" applyBorder="1" applyAlignment="1">
      <alignment horizontal="center" vertical="center"/>
      <protection/>
    </xf>
    <xf numFmtId="2" fontId="2" fillId="0" borderId="11" xfId="52" applyNumberFormat="1" applyFont="1" applyBorder="1" applyAlignment="1">
      <alignment horizontal="center" vertical="center"/>
      <protection/>
    </xf>
    <xf numFmtId="2" fontId="5" fillId="0" borderId="11" xfId="52" applyNumberFormat="1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49" fontId="2" fillId="0" borderId="11" xfId="56" applyNumberFormat="1" applyFont="1" applyFill="1" applyBorder="1" applyAlignment="1">
      <alignment horizontal="center" vertical="center"/>
      <protection/>
    </xf>
    <xf numFmtId="0" fontId="16" fillId="0" borderId="11" xfId="53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justify" vertic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10" xfId="0" applyBorder="1" applyAlignment="1">
      <alignment/>
    </xf>
    <xf numFmtId="0" fontId="73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77" fillId="48" borderId="11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/>
    </xf>
    <xf numFmtId="0" fontId="0" fillId="0" borderId="47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6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2" fillId="6" borderId="11" xfId="54" applyFont="1" applyFill="1" applyBorder="1" applyAlignment="1" quotePrefix="1">
      <alignment vertical="center" wrapText="1"/>
      <protection/>
    </xf>
    <xf numFmtId="4" fontId="2" fillId="6" borderId="11" xfId="54" applyNumberFormat="1" applyFont="1" applyFill="1" applyBorder="1" applyAlignment="1">
      <alignment horizontal="center" vertical="center"/>
      <protection/>
    </xf>
    <xf numFmtId="2" fontId="2" fillId="6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left" vertical="center" wrapText="1"/>
    </xf>
    <xf numFmtId="49" fontId="5" fillId="0" borderId="11" xfId="56" applyNumberFormat="1" applyFont="1" applyFill="1" applyBorder="1" applyAlignment="1">
      <alignment horizontal="center" vertical="center"/>
      <protection/>
    </xf>
    <xf numFmtId="49" fontId="5" fillId="0" borderId="11" xfId="0" applyNumberFormat="1" applyFont="1" applyBorder="1" applyAlignment="1">
      <alignment horizontal="center" vertical="center" wrapText="1"/>
    </xf>
    <xf numFmtId="0" fontId="2" fillId="6" borderId="0" xfId="0" applyFont="1" applyFill="1" applyBorder="1" applyAlignment="1">
      <alignment horizontal="left" vertical="center" wrapText="1"/>
    </xf>
    <xf numFmtId="49" fontId="5" fillId="0" borderId="11" xfId="56" applyNumberFormat="1" applyFont="1" applyFill="1" applyBorder="1" applyAlignment="1" applyProtection="1">
      <alignment horizontal="center" vertical="center" wrapText="1"/>
      <protection/>
    </xf>
    <xf numFmtId="0" fontId="29" fillId="0" borderId="11" xfId="56" applyFont="1" applyFill="1" applyBorder="1" applyAlignment="1" applyProtection="1">
      <alignment horizontal="left" vertical="center" wrapText="1"/>
      <protection/>
    </xf>
    <xf numFmtId="49" fontId="29" fillId="0" borderId="11" xfId="56" applyNumberFormat="1" applyFont="1" applyFill="1" applyBorder="1" applyAlignment="1" applyProtection="1">
      <alignment horizontal="center" vertical="center" wrapText="1"/>
      <protection/>
    </xf>
    <xf numFmtId="49" fontId="29" fillId="0" borderId="11" xfId="56" applyNumberFormat="1" applyFont="1" applyFill="1" applyBorder="1" applyAlignment="1" applyProtection="1" quotePrefix="1">
      <alignment horizontal="center" vertical="center" wrapText="1"/>
      <protection/>
    </xf>
    <xf numFmtId="0" fontId="29" fillId="0" borderId="11" xfId="56" applyFont="1" applyFill="1" applyBorder="1" applyAlignment="1" applyProtection="1">
      <alignment horizontal="center" vertical="center" wrapText="1"/>
      <protection/>
    </xf>
    <xf numFmtId="4" fontId="29" fillId="0" borderId="11" xfId="56" applyNumberFormat="1" applyFont="1" applyFill="1" applyBorder="1" applyAlignment="1">
      <alignment horizontal="center" vertical="center"/>
      <protection/>
    </xf>
    <xf numFmtId="43" fontId="71" fillId="0" borderId="11" xfId="42" applyFont="1" applyFill="1" applyBorder="1" applyAlignment="1">
      <alignment horizontal="center" vertical="center"/>
    </xf>
    <xf numFmtId="49" fontId="113" fillId="0" borderId="11" xfId="56" applyNumberFormat="1" applyFont="1" applyFill="1" applyBorder="1" applyAlignment="1" applyProtection="1">
      <alignment horizontal="center" vertical="center" wrapText="1"/>
      <protection/>
    </xf>
    <xf numFmtId="4" fontId="2" fillId="35" borderId="11" xfId="0" applyNumberFormat="1" applyFont="1" applyFill="1" applyBorder="1" applyAlignment="1">
      <alignment vertical="center" wrapText="1"/>
    </xf>
    <xf numFmtId="43" fontId="2" fillId="35" borderId="11" xfId="42" applyFont="1" applyFill="1" applyBorder="1" applyAlignment="1">
      <alignment vertical="center" wrapText="1"/>
    </xf>
    <xf numFmtId="0" fontId="2" fillId="6" borderId="11" xfId="54" applyFont="1" applyFill="1" applyBorder="1" applyAlignment="1">
      <alignment vertical="center" wrapText="1"/>
      <protection/>
    </xf>
    <xf numFmtId="4" fontId="2" fillId="6" borderId="11" xfId="54" applyNumberFormat="1" applyFont="1" applyFill="1" applyBorder="1" applyAlignment="1">
      <alignment vertical="center" wrapText="1"/>
      <protection/>
    </xf>
    <xf numFmtId="43" fontId="2" fillId="6" borderId="11" xfId="42" applyFont="1" applyFill="1" applyBorder="1" applyAlignment="1">
      <alignment vertical="center" wrapText="1"/>
    </xf>
    <xf numFmtId="0" fontId="125" fillId="0" borderId="11" xfId="56" applyFont="1" applyFill="1" applyBorder="1" applyAlignment="1" applyProtection="1">
      <alignment horizontal="left" vertical="center" wrapText="1"/>
      <protection/>
    </xf>
    <xf numFmtId="0" fontId="125" fillId="0" borderId="11" xfId="56" applyFont="1" applyFill="1" applyBorder="1" applyAlignment="1" applyProtection="1">
      <alignment horizontal="center" vertical="center" wrapText="1"/>
      <protection/>
    </xf>
    <xf numFmtId="4" fontId="125" fillId="0" borderId="11" xfId="56" applyNumberFormat="1" applyFont="1" applyFill="1" applyBorder="1" applyAlignment="1">
      <alignment horizontal="center" vertical="center"/>
      <protection/>
    </xf>
    <xf numFmtId="4" fontId="126" fillId="0" borderId="11" xfId="56" applyNumberFormat="1" applyFont="1" applyFill="1" applyBorder="1" applyAlignment="1">
      <alignment horizontal="center" vertical="center"/>
      <protection/>
    </xf>
    <xf numFmtId="43" fontId="126" fillId="0" borderId="11" xfId="42" applyFont="1" applyFill="1" applyBorder="1" applyAlignment="1">
      <alignment horizontal="center" vertical="center"/>
    </xf>
    <xf numFmtId="49" fontId="57" fillId="0" borderId="11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 wrapText="1"/>
    </xf>
    <xf numFmtId="49" fontId="58" fillId="0" borderId="11" xfId="0" applyNumberFormat="1" applyFont="1" applyBorder="1" applyAlignment="1">
      <alignment horizontal="center" vertical="center"/>
    </xf>
    <xf numFmtId="0" fontId="58" fillId="2" borderId="11" xfId="0" applyFont="1" applyFill="1" applyBorder="1" applyAlignment="1">
      <alignment horizontal="center" vertical="center"/>
    </xf>
    <xf numFmtId="4" fontId="58" fillId="2" borderId="11" xfId="0" applyNumberFormat="1" applyFont="1" applyFill="1" applyBorder="1" applyAlignment="1">
      <alignment horizontal="center" vertical="center"/>
    </xf>
    <xf numFmtId="4" fontId="57" fillId="2" borderId="11" xfId="0" applyNumberFormat="1" applyFont="1" applyFill="1" applyBorder="1" applyAlignment="1">
      <alignment horizontal="center" vertical="center"/>
    </xf>
    <xf numFmtId="43" fontId="57" fillId="2" borderId="11" xfId="42" applyFont="1" applyFill="1" applyBorder="1" applyAlignment="1">
      <alignment horizontal="center" vertical="center"/>
    </xf>
    <xf numFmtId="4" fontId="5" fillId="2" borderId="11" xfId="54" applyNumberFormat="1" applyFont="1" applyFill="1" applyBorder="1" applyAlignment="1">
      <alignment horizontal="center" vertical="center"/>
      <protection/>
    </xf>
    <xf numFmtId="49" fontId="57" fillId="0" borderId="11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43" fontId="4" fillId="0" borderId="10" xfId="42" applyFont="1" applyBorder="1" applyAlignment="1">
      <alignment horizontal="center" vertical="center"/>
    </xf>
    <xf numFmtId="4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8" fillId="0" borderId="0" xfId="0" applyFont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0" fontId="4" fillId="40" borderId="0" xfId="0" applyFont="1" applyFill="1" applyBorder="1" applyAlignment="1">
      <alignment vertical="center"/>
    </xf>
    <xf numFmtId="0" fontId="0" fillId="40" borderId="0" xfId="0" applyFont="1" applyFill="1" applyBorder="1" applyAlignment="1">
      <alignment vertical="center"/>
    </xf>
    <xf numFmtId="43" fontId="4" fillId="40" borderId="0" xfId="0" applyNumberFormat="1" applyFont="1" applyFill="1" applyBorder="1" applyAlignment="1">
      <alignment vertical="center"/>
    </xf>
    <xf numFmtId="43" fontId="0" fillId="0" borderId="0" xfId="0" applyNumberFormat="1" applyFont="1" applyBorder="1" applyAlignment="1">
      <alignment vertical="center"/>
    </xf>
    <xf numFmtId="0" fontId="0" fillId="44" borderId="0" xfId="0" applyFont="1" applyFill="1" applyBorder="1" applyAlignment="1">
      <alignment vertical="center"/>
    </xf>
    <xf numFmtId="0" fontId="4" fillId="44" borderId="0" xfId="0" applyFont="1" applyFill="1" applyBorder="1" applyAlignment="1">
      <alignment vertical="center"/>
    </xf>
    <xf numFmtId="0" fontId="5" fillId="44" borderId="0" xfId="0" applyFont="1" applyFill="1" applyBorder="1" applyAlignment="1">
      <alignment vertical="center"/>
    </xf>
    <xf numFmtId="4" fontId="4" fillId="0" borderId="55" xfId="0" applyNumberFormat="1" applyFont="1" applyBorder="1" applyAlignment="1">
      <alignment horizontal="center" vertical="center"/>
    </xf>
    <xf numFmtId="0" fontId="2" fillId="42" borderId="15" xfId="0" applyFont="1" applyFill="1" applyBorder="1" applyAlignment="1">
      <alignment vertical="center" wrapText="1"/>
    </xf>
    <xf numFmtId="0" fontId="2" fillId="42" borderId="14" xfId="0" applyFont="1" applyFill="1" applyBorder="1" applyAlignment="1">
      <alignment vertical="center" wrapText="1"/>
    </xf>
    <xf numFmtId="0" fontId="73" fillId="0" borderId="42" xfId="0" applyFont="1" applyBorder="1" applyAlignment="1">
      <alignment vertical="center" wrapText="1"/>
    </xf>
    <xf numFmtId="0" fontId="73" fillId="0" borderId="0" xfId="0" applyFont="1" applyBorder="1" applyAlignment="1">
      <alignment vertical="center" wrapText="1"/>
    </xf>
    <xf numFmtId="0" fontId="127" fillId="0" borderId="42" xfId="0" applyFont="1" applyBorder="1" applyAlignment="1">
      <alignment horizontal="center" vertical="center" wrapText="1"/>
    </xf>
    <xf numFmtId="0" fontId="127" fillId="0" borderId="60" xfId="0" applyFont="1" applyBorder="1" applyAlignment="1">
      <alignment horizontal="center" vertical="center" wrapText="1"/>
    </xf>
    <xf numFmtId="0" fontId="127" fillId="0" borderId="0" xfId="0" applyFont="1" applyBorder="1" applyAlignment="1">
      <alignment horizontal="center" vertical="center" wrapText="1"/>
    </xf>
    <xf numFmtId="0" fontId="127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center" vertical="center" wrapText="1"/>
    </xf>
    <xf numFmtId="0" fontId="12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/>
    </xf>
    <xf numFmtId="0" fontId="129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wrapText="1"/>
    </xf>
    <xf numFmtId="0" fontId="77" fillId="48" borderId="11" xfId="0" applyFont="1" applyFill="1" applyBorder="1" applyAlignment="1">
      <alignment horizontal="center" vertical="center" wrapText="1"/>
    </xf>
    <xf numFmtId="0" fontId="77" fillId="48" borderId="35" xfId="0" applyFont="1" applyFill="1" applyBorder="1" applyAlignment="1">
      <alignment horizontal="center" vertical="center" wrapText="1"/>
    </xf>
    <xf numFmtId="0" fontId="73" fillId="48" borderId="11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130" fillId="0" borderId="11" xfId="0" applyFont="1" applyBorder="1" applyAlignment="1">
      <alignment horizontal="center" vertical="center" wrapText="1"/>
    </xf>
    <xf numFmtId="0" fontId="77" fillId="48" borderId="24" xfId="0" applyFont="1" applyFill="1" applyBorder="1" applyAlignment="1">
      <alignment horizontal="center" vertical="top" wrapText="1"/>
    </xf>
    <xf numFmtId="0" fontId="73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20" fillId="0" borderId="0" xfId="0" applyFont="1" applyAlignment="1">
      <alignment horizontal="left" vertical="top" wrapText="1"/>
    </xf>
    <xf numFmtId="0" fontId="2" fillId="42" borderId="13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2" fontId="18" fillId="0" borderId="11" xfId="53" applyNumberFormat="1" applyFont="1" applyFill="1" applyBorder="1" applyAlignment="1">
      <alignment horizontal="left" vertical="center" wrapText="1"/>
      <protection/>
    </xf>
    <xf numFmtId="2" fontId="18" fillId="0" borderId="13" xfId="53" applyNumberFormat="1" applyFont="1" applyFill="1" applyBorder="1" applyAlignment="1">
      <alignment horizontal="left" vertical="center" wrapText="1"/>
      <protection/>
    </xf>
    <xf numFmtId="0" fontId="16" fillId="0" borderId="61" xfId="53" applyFont="1" applyFill="1" applyBorder="1" applyAlignment="1">
      <alignment horizontal="right" vertical="center"/>
      <protection/>
    </xf>
    <xf numFmtId="0" fontId="16" fillId="0" borderId="15" xfId="53" applyFont="1" applyFill="1" applyBorder="1" applyAlignment="1">
      <alignment horizontal="right" vertical="center"/>
      <protection/>
    </xf>
    <xf numFmtId="0" fontId="16" fillId="0" borderId="43" xfId="53" applyFont="1" applyFill="1" applyBorder="1" applyAlignment="1">
      <alignment horizontal="right" vertical="center"/>
      <protection/>
    </xf>
    <xf numFmtId="0" fontId="16" fillId="0" borderId="61" xfId="53" applyFont="1" applyBorder="1" applyAlignment="1">
      <alignment horizontal="right" vertical="center"/>
      <protection/>
    </xf>
    <xf numFmtId="0" fontId="16" fillId="0" borderId="15" xfId="53" applyFont="1" applyBorder="1" applyAlignment="1">
      <alignment horizontal="right" vertical="center"/>
      <protection/>
    </xf>
    <xf numFmtId="0" fontId="16" fillId="0" borderId="62" xfId="53" applyFont="1" applyBorder="1" applyAlignment="1">
      <alignment horizontal="right" vertical="center"/>
      <protection/>
    </xf>
    <xf numFmtId="0" fontId="16" fillId="0" borderId="63" xfId="53" applyFont="1" applyBorder="1" applyAlignment="1">
      <alignment horizontal="right" vertical="center"/>
      <protection/>
    </xf>
    <xf numFmtId="49" fontId="16" fillId="36" borderId="13" xfId="53" applyNumberFormat="1" applyFont="1" applyFill="1" applyBorder="1" applyAlignment="1">
      <alignment horizontal="center" vertical="center" wrapText="1"/>
      <protection/>
    </xf>
    <xf numFmtId="0" fontId="16" fillId="36" borderId="15" xfId="53" applyFont="1" applyFill="1" applyBorder="1" applyAlignment="1">
      <alignment horizontal="center" vertical="center" wrapText="1"/>
      <protection/>
    </xf>
    <xf numFmtId="49" fontId="16" fillId="36" borderId="47" xfId="53" applyNumberFormat="1" applyFont="1" applyFill="1" applyBorder="1" applyAlignment="1">
      <alignment horizontal="center" vertical="center" wrapText="1"/>
      <protection/>
    </xf>
    <xf numFmtId="0" fontId="16" fillId="36" borderId="45" xfId="53" applyFont="1" applyFill="1" applyBorder="1" applyAlignment="1">
      <alignment horizontal="center" vertical="center" wrapText="1"/>
      <protection/>
    </xf>
    <xf numFmtId="49" fontId="18" fillId="0" borderId="13" xfId="53" applyNumberFormat="1" applyFont="1" applyBorder="1" applyAlignment="1">
      <alignment horizontal="left" vertical="center" wrapText="1"/>
      <protection/>
    </xf>
    <xf numFmtId="49" fontId="18" fillId="0" borderId="15" xfId="53" applyNumberFormat="1" applyFont="1" applyBorder="1" applyAlignment="1">
      <alignment horizontal="left" vertical="center" wrapText="1"/>
      <protection/>
    </xf>
    <xf numFmtId="0" fontId="16" fillId="0" borderId="43" xfId="53" applyFont="1" applyBorder="1" applyAlignment="1">
      <alignment horizontal="right" vertical="center"/>
      <protection/>
    </xf>
    <xf numFmtId="2" fontId="18" fillId="0" borderId="15" xfId="53" applyNumberFormat="1" applyFont="1" applyFill="1" applyBorder="1" applyAlignment="1">
      <alignment horizontal="left" vertical="center" wrapText="1"/>
      <protection/>
    </xf>
    <xf numFmtId="0" fontId="18" fillId="0" borderId="11" xfId="53" applyFont="1" applyFill="1" applyBorder="1" applyAlignment="1">
      <alignment horizontal="left" vertical="center" wrapText="1"/>
      <protection/>
    </xf>
    <xf numFmtId="0" fontId="18" fillId="0" borderId="13" xfId="53" applyFont="1" applyFill="1" applyBorder="1" applyAlignment="1">
      <alignment horizontal="left" vertical="center" wrapText="1"/>
      <protection/>
    </xf>
    <xf numFmtId="0" fontId="18" fillId="0" borderId="15" xfId="53" applyFont="1" applyFill="1" applyBorder="1" applyAlignment="1">
      <alignment horizontal="left" vertical="center" wrapText="1"/>
      <protection/>
    </xf>
    <xf numFmtId="0" fontId="18" fillId="0" borderId="64" xfId="53" applyFont="1" applyFill="1" applyBorder="1" applyAlignment="1">
      <alignment horizontal="left" vertical="center" wrapText="1"/>
      <protection/>
    </xf>
    <xf numFmtId="0" fontId="18" fillId="0" borderId="63" xfId="53" applyFont="1" applyFill="1" applyBorder="1" applyAlignment="1">
      <alignment horizontal="left" vertical="center" wrapText="1"/>
      <protection/>
    </xf>
    <xf numFmtId="0" fontId="17" fillId="49" borderId="65" xfId="53" applyFont="1" applyFill="1" applyBorder="1" applyAlignment="1">
      <alignment horizontal="center" vertical="center" wrapText="1"/>
      <protection/>
    </xf>
    <xf numFmtId="0" fontId="17" fillId="49" borderId="66" xfId="53" applyFont="1" applyFill="1" applyBorder="1" applyAlignment="1">
      <alignment horizontal="center" vertical="center" wrapText="1"/>
      <protection/>
    </xf>
    <xf numFmtId="0" fontId="17" fillId="49" borderId="67" xfId="53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16" fillId="38" borderId="17" xfId="53" applyFont="1" applyFill="1" applyBorder="1" applyAlignment="1">
      <alignment horizontal="center" vertical="center"/>
      <protection/>
    </xf>
    <xf numFmtId="0" fontId="16" fillId="38" borderId="68" xfId="53" applyFont="1" applyFill="1" applyBorder="1" applyAlignment="1">
      <alignment horizontal="center" vertical="center"/>
      <protection/>
    </xf>
    <xf numFmtId="0" fontId="27" fillId="42" borderId="62" xfId="0" applyFont="1" applyFill="1" applyBorder="1" applyAlignment="1">
      <alignment horizontal="right" vertical="center"/>
    </xf>
    <xf numFmtId="0" fontId="27" fillId="42" borderId="63" xfId="0" applyFont="1" applyFill="1" applyBorder="1" applyAlignment="1">
      <alignment horizontal="right" vertical="center"/>
    </xf>
    <xf numFmtId="0" fontId="27" fillId="42" borderId="69" xfId="0" applyFont="1" applyFill="1" applyBorder="1" applyAlignment="1">
      <alignment horizontal="right" vertical="center"/>
    </xf>
    <xf numFmtId="0" fontId="2" fillId="35" borderId="13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2" fillId="35" borderId="43" xfId="0" applyFont="1" applyFill="1" applyBorder="1" applyAlignment="1">
      <alignment horizontal="left" vertical="center" wrapText="1"/>
    </xf>
    <xf numFmtId="0" fontId="2" fillId="6" borderId="13" xfId="54" applyFont="1" applyFill="1" applyBorder="1" applyAlignment="1">
      <alignment horizontal="left" vertical="center" wrapText="1"/>
      <protection/>
    </xf>
    <xf numFmtId="0" fontId="2" fillId="6" borderId="15" xfId="54" applyFont="1" applyFill="1" applyBorder="1" applyAlignment="1">
      <alignment horizontal="left" vertical="center" wrapText="1"/>
      <protection/>
    </xf>
    <xf numFmtId="0" fontId="2" fillId="6" borderId="43" xfId="54" applyFont="1" applyFill="1" applyBorder="1" applyAlignment="1">
      <alignment horizontal="left" vertical="center" wrapText="1"/>
      <protection/>
    </xf>
    <xf numFmtId="2" fontId="2" fillId="6" borderId="11" xfId="0" applyNumberFormat="1" applyFont="1" applyFill="1" applyBorder="1" applyAlignment="1">
      <alignment horizontal="center" vertical="center"/>
    </xf>
    <xf numFmtId="0" fontId="47" fillId="0" borderId="40" xfId="55" applyFont="1" applyFill="1" applyBorder="1" applyAlignment="1" applyProtection="1">
      <alignment horizontal="right" vertical="center" wrapText="1"/>
      <protection/>
    </xf>
    <xf numFmtId="0" fontId="47" fillId="0" borderId="70" xfId="55" applyFont="1" applyFill="1" applyBorder="1" applyAlignment="1" applyProtection="1">
      <alignment horizontal="right" vertical="center" wrapText="1"/>
      <protection/>
    </xf>
    <xf numFmtId="0" fontId="47" fillId="0" borderId="71" xfId="55" applyFont="1" applyFill="1" applyBorder="1" applyAlignment="1" applyProtection="1">
      <alignment horizontal="right" vertical="center" wrapText="1"/>
      <protection/>
    </xf>
    <xf numFmtId="0" fontId="47" fillId="0" borderId="61" xfId="55" applyFont="1" applyFill="1" applyBorder="1" applyAlignment="1" applyProtection="1">
      <alignment horizontal="right" vertical="center" wrapText="1"/>
      <protection/>
    </xf>
    <xf numFmtId="0" fontId="47" fillId="0" borderId="15" xfId="55" applyFont="1" applyFill="1" applyBorder="1" applyAlignment="1" applyProtection="1">
      <alignment horizontal="right" vertical="center" wrapText="1"/>
      <protection/>
    </xf>
    <xf numFmtId="0" fontId="47" fillId="0" borderId="14" xfId="55" applyFont="1" applyFill="1" applyBorder="1" applyAlignment="1" applyProtection="1">
      <alignment horizontal="right" vertical="center" wrapText="1"/>
      <protection/>
    </xf>
    <xf numFmtId="0" fontId="27" fillId="42" borderId="72" xfId="0" applyFont="1" applyFill="1" applyBorder="1" applyAlignment="1">
      <alignment horizontal="right" vertical="center"/>
    </xf>
    <xf numFmtId="0" fontId="27" fillId="42" borderId="48" xfId="0" applyFont="1" applyFill="1" applyBorder="1" applyAlignment="1">
      <alignment horizontal="right" vertical="center"/>
    </xf>
    <xf numFmtId="0" fontId="27" fillId="42" borderId="50" xfId="0" applyFont="1" applyFill="1" applyBorder="1" applyAlignment="1">
      <alignment horizontal="right" vertical="center"/>
    </xf>
    <xf numFmtId="0" fontId="27" fillId="42" borderId="61" xfId="0" applyFont="1" applyFill="1" applyBorder="1" applyAlignment="1">
      <alignment horizontal="right" vertical="center"/>
    </xf>
    <xf numFmtId="0" fontId="27" fillId="42" borderId="15" xfId="0" applyFont="1" applyFill="1" applyBorder="1" applyAlignment="1">
      <alignment horizontal="right" vertical="center"/>
    </xf>
    <xf numFmtId="0" fontId="27" fillId="42" borderId="43" xfId="0" applyFont="1" applyFill="1" applyBorder="1" applyAlignment="1">
      <alignment horizontal="right" vertical="center"/>
    </xf>
    <xf numFmtId="0" fontId="2" fillId="6" borderId="11" xfId="54" applyFont="1" applyFill="1" applyBorder="1" applyAlignment="1">
      <alignment horizontal="left" vertical="center" wrapText="1"/>
      <protection/>
    </xf>
    <xf numFmtId="0" fontId="2" fillId="6" borderId="19" xfId="54" applyFont="1" applyFill="1" applyBorder="1" applyAlignment="1">
      <alignment horizontal="left" vertical="center" wrapText="1"/>
      <protection/>
    </xf>
    <xf numFmtId="0" fontId="2" fillId="35" borderId="11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left" vertical="center" wrapText="1"/>
    </xf>
    <xf numFmtId="0" fontId="47" fillId="0" borderId="61" xfId="0" applyFont="1" applyFill="1" applyBorder="1" applyAlignment="1">
      <alignment horizontal="right" vertical="center"/>
    </xf>
    <xf numFmtId="0" fontId="47" fillId="0" borderId="15" xfId="0" applyFont="1" applyFill="1" applyBorder="1" applyAlignment="1">
      <alignment horizontal="right" vertical="center"/>
    </xf>
    <xf numFmtId="0" fontId="47" fillId="0" borderId="14" xfId="0" applyFont="1" applyFill="1" applyBorder="1" applyAlignment="1">
      <alignment horizontal="right" vertical="center"/>
    </xf>
    <xf numFmtId="0" fontId="47" fillId="0" borderId="61" xfId="0" applyFont="1" applyFill="1" applyBorder="1" applyAlignment="1">
      <alignment horizontal="right" vertical="center" wrapText="1"/>
    </xf>
    <xf numFmtId="0" fontId="47" fillId="0" borderId="15" xfId="0" applyFont="1" applyFill="1" applyBorder="1" applyAlignment="1">
      <alignment horizontal="right" vertical="center" wrapText="1"/>
    </xf>
    <xf numFmtId="0" fontId="47" fillId="0" borderId="14" xfId="0" applyFont="1" applyFill="1" applyBorder="1" applyAlignment="1">
      <alignment horizontal="right" vertical="center" wrapText="1"/>
    </xf>
    <xf numFmtId="0" fontId="47" fillId="0" borderId="61" xfId="54" applyFont="1" applyFill="1" applyBorder="1" applyAlignment="1">
      <alignment horizontal="right" vertical="center" wrapText="1"/>
      <protection/>
    </xf>
    <xf numFmtId="0" fontId="47" fillId="0" borderId="15" xfId="54" applyFont="1" applyFill="1" applyBorder="1" applyAlignment="1">
      <alignment horizontal="right" vertical="center" wrapText="1"/>
      <protection/>
    </xf>
    <xf numFmtId="0" fontId="47" fillId="0" borderId="14" xfId="54" applyFont="1" applyFill="1" applyBorder="1" applyAlignment="1">
      <alignment horizontal="right" vertical="center" wrapText="1"/>
      <protection/>
    </xf>
    <xf numFmtId="164" fontId="7" fillId="13" borderId="13" xfId="54" applyNumberFormat="1" applyFont="1" applyFill="1" applyBorder="1" applyAlignment="1">
      <alignment horizontal="center" vertical="center" wrapText="1"/>
      <protection/>
    </xf>
    <xf numFmtId="164" fontId="7" fillId="13" borderId="15" xfId="54" applyNumberFormat="1" applyFont="1" applyFill="1" applyBorder="1" applyAlignment="1">
      <alignment horizontal="center" vertical="center" wrapText="1"/>
      <protection/>
    </xf>
    <xf numFmtId="164" fontId="7" fillId="13" borderId="43" xfId="54" applyNumberFormat="1" applyFont="1" applyFill="1" applyBorder="1" applyAlignment="1">
      <alignment horizontal="center" vertical="center" wrapText="1"/>
      <protection/>
    </xf>
    <xf numFmtId="0" fontId="48" fillId="13" borderId="16" xfId="0" applyFont="1" applyFill="1" applyBorder="1" applyAlignment="1">
      <alignment horizontal="center" vertical="center" wrapText="1"/>
    </xf>
    <xf numFmtId="0" fontId="48" fillId="13" borderId="17" xfId="0" applyFont="1" applyFill="1" applyBorder="1" applyAlignment="1">
      <alignment horizontal="center" vertical="center" wrapText="1"/>
    </xf>
    <xf numFmtId="0" fontId="48" fillId="13" borderId="73" xfId="0" applyFont="1" applyFill="1" applyBorder="1" applyAlignment="1">
      <alignment horizontal="center" vertical="center" wrapText="1"/>
    </xf>
    <xf numFmtId="0" fontId="2" fillId="42" borderId="12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vertical="center" wrapText="1"/>
    </xf>
    <xf numFmtId="0" fontId="2" fillId="42" borderId="19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7" fillId="0" borderId="0" xfId="0" applyFont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center" wrapText="1"/>
    </xf>
    <xf numFmtId="7" fontId="17" fillId="0" borderId="15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center" wrapText="1"/>
    </xf>
    <xf numFmtId="0" fontId="47" fillId="14" borderId="11" xfId="54" applyFont="1" applyFill="1" applyBorder="1" applyAlignment="1">
      <alignment horizontal="right" vertical="center" wrapText="1"/>
      <protection/>
    </xf>
    <xf numFmtId="0" fontId="27" fillId="42" borderId="11" xfId="0" applyFont="1" applyFill="1" applyBorder="1" applyAlignment="1">
      <alignment horizontal="right" vertical="center"/>
    </xf>
    <xf numFmtId="0" fontId="47" fillId="15" borderId="11" xfId="54" applyFont="1" applyFill="1" applyBorder="1" applyAlignment="1">
      <alignment horizontal="right" vertical="center" wrapText="1"/>
      <protection/>
    </xf>
    <xf numFmtId="164" fontId="7" fillId="13" borderId="11" xfId="54" applyNumberFormat="1" applyFont="1" applyFill="1" applyBorder="1" applyAlignment="1">
      <alignment horizontal="center" vertical="center" wrapText="1"/>
      <protection/>
    </xf>
    <xf numFmtId="0" fontId="2" fillId="35" borderId="11" xfId="0" applyFont="1" applyFill="1" applyBorder="1" applyAlignment="1">
      <alignment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0" fontId="5" fillId="6" borderId="11" xfId="0" applyNumberFormat="1" applyFont="1" applyFill="1" applyBorder="1" applyAlignment="1" applyProtection="1">
      <alignment vertical="center"/>
      <protection/>
    </xf>
    <xf numFmtId="0" fontId="114" fillId="6" borderId="11" xfId="54" applyFont="1" applyFill="1" applyBorder="1" applyAlignment="1">
      <alignment horizontal="left" vertical="center" wrapText="1"/>
      <protection/>
    </xf>
    <xf numFmtId="164" fontId="7" fillId="13" borderId="11" xfId="54" applyNumberFormat="1" applyFont="1" applyFill="1" applyBorder="1" applyAlignment="1" quotePrefix="1">
      <alignment horizontal="center" vertical="center" wrapText="1"/>
      <protection/>
    </xf>
    <xf numFmtId="4" fontId="5" fillId="13" borderId="11" xfId="0" applyNumberFormat="1" applyFont="1" applyFill="1" applyBorder="1" applyAlignment="1">
      <alignment horizontal="center" vertical="center"/>
    </xf>
    <xf numFmtId="0" fontId="48" fillId="13" borderId="11" xfId="0" applyFont="1" applyFill="1" applyBorder="1" applyAlignment="1">
      <alignment horizontal="center" vertical="center" wrapText="1"/>
    </xf>
    <xf numFmtId="0" fontId="49" fillId="13" borderId="11" xfId="0" applyFont="1" applyFill="1" applyBorder="1" applyAlignment="1">
      <alignment horizontal="center" vertical="center"/>
    </xf>
    <xf numFmtId="0" fontId="16" fillId="0" borderId="11" xfId="53" applyFont="1" applyFill="1" applyBorder="1" applyAlignment="1">
      <alignment horizontal="right" vertical="center"/>
      <protection/>
    </xf>
    <xf numFmtId="0" fontId="16" fillId="0" borderId="11" xfId="53" applyFont="1" applyBorder="1" applyAlignment="1">
      <alignment horizontal="right" vertical="center"/>
      <protection/>
    </xf>
    <xf numFmtId="0" fontId="18" fillId="0" borderId="14" xfId="53" applyFont="1" applyFill="1" applyBorder="1" applyAlignment="1">
      <alignment horizontal="left" vertical="center" wrapText="1"/>
      <protection/>
    </xf>
    <xf numFmtId="49" fontId="16" fillId="36" borderId="11" xfId="53" applyNumberFormat="1" applyFont="1" applyFill="1" applyBorder="1" applyAlignment="1">
      <alignment horizontal="center" vertical="center" wrapText="1"/>
      <protection/>
    </xf>
    <xf numFmtId="0" fontId="16" fillId="36" borderId="11" xfId="53" applyFont="1" applyFill="1" applyBorder="1" applyAlignment="1">
      <alignment horizontal="center" vertical="center" wrapText="1"/>
      <protection/>
    </xf>
    <xf numFmtId="0" fontId="27" fillId="0" borderId="45" xfId="0" applyFont="1" applyBorder="1" applyAlignment="1">
      <alignment horizontal="center" vertical="center" wrapText="1"/>
    </xf>
    <xf numFmtId="0" fontId="17" fillId="49" borderId="57" xfId="53" applyFont="1" applyFill="1" applyBorder="1" applyAlignment="1">
      <alignment horizontal="center" vertical="center" wrapText="1"/>
      <protection/>
    </xf>
    <xf numFmtId="0" fontId="17" fillId="49" borderId="42" xfId="53" applyFont="1" applyFill="1" applyBorder="1" applyAlignment="1">
      <alignment horizontal="center" vertical="center" wrapText="1"/>
      <protection/>
    </xf>
    <xf numFmtId="0" fontId="17" fillId="49" borderId="60" xfId="53" applyFont="1" applyFill="1" applyBorder="1" applyAlignment="1">
      <alignment horizontal="center" vertical="center" wrapText="1"/>
      <protection/>
    </xf>
    <xf numFmtId="0" fontId="17" fillId="49" borderId="47" xfId="53" applyFont="1" applyFill="1" applyBorder="1" applyAlignment="1">
      <alignment horizontal="center" vertical="center" wrapText="1"/>
      <protection/>
    </xf>
    <xf numFmtId="0" fontId="17" fillId="49" borderId="45" xfId="53" applyFont="1" applyFill="1" applyBorder="1" applyAlignment="1">
      <alignment horizontal="center" vertical="center" wrapText="1"/>
      <protection/>
    </xf>
    <xf numFmtId="0" fontId="17" fillId="49" borderId="46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6" fillId="38" borderId="11" xfId="53" applyFont="1" applyFill="1" applyBorder="1" applyAlignment="1">
      <alignment horizontal="center" vertical="center"/>
      <protection/>
    </xf>
    <xf numFmtId="49" fontId="18" fillId="0" borderId="11" xfId="53" applyNumberFormat="1" applyFont="1" applyBorder="1" applyAlignment="1">
      <alignment horizontal="left" vertical="center" wrapText="1"/>
      <protection/>
    </xf>
    <xf numFmtId="0" fontId="2" fillId="6" borderId="11" xfId="0" applyFont="1" applyFill="1" applyBorder="1" applyAlignment="1">
      <alignment horizontal="left" vertical="center" wrapText="1"/>
    </xf>
    <xf numFmtId="49" fontId="5" fillId="0" borderId="11" xfId="56" applyNumberFormat="1" applyFont="1" applyFill="1" applyBorder="1" applyAlignment="1">
      <alignment horizontal="center" vertical="center"/>
      <protection/>
    </xf>
    <xf numFmtId="49" fontId="5" fillId="0" borderId="11" xfId="0" applyNumberFormat="1" applyFont="1" applyBorder="1" applyAlignment="1">
      <alignment horizontal="center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122" fillId="6" borderId="11" xfId="54" applyFont="1" applyFill="1" applyBorder="1" applyAlignment="1">
      <alignment horizontal="left" vertical="center" wrapText="1"/>
      <protection/>
    </xf>
    <xf numFmtId="0" fontId="16" fillId="44" borderId="72" xfId="53" applyFont="1" applyFill="1" applyBorder="1" applyAlignment="1">
      <alignment horizontal="right" vertical="center"/>
      <protection/>
    </xf>
    <xf numFmtId="0" fontId="16" fillId="44" borderId="48" xfId="53" applyFont="1" applyFill="1" applyBorder="1" applyAlignment="1">
      <alignment horizontal="right" vertical="center"/>
      <protection/>
    </xf>
    <xf numFmtId="0" fontId="16" fillId="44" borderId="61" xfId="53" applyFont="1" applyFill="1" applyBorder="1" applyAlignment="1">
      <alignment horizontal="right" vertical="center"/>
      <protection/>
    </xf>
    <xf numFmtId="0" fontId="16" fillId="44" borderId="15" xfId="53" applyFont="1" applyFill="1" applyBorder="1" applyAlignment="1">
      <alignment horizontal="right" vertical="center"/>
      <protection/>
    </xf>
    <xf numFmtId="0" fontId="16" fillId="44" borderId="62" xfId="53" applyFont="1" applyFill="1" applyBorder="1" applyAlignment="1">
      <alignment horizontal="right" vertical="center"/>
      <protection/>
    </xf>
    <xf numFmtId="0" fontId="16" fillId="44" borderId="63" xfId="53" applyFont="1" applyFill="1" applyBorder="1" applyAlignment="1">
      <alignment horizontal="right" vertical="center"/>
      <protection/>
    </xf>
    <xf numFmtId="0" fontId="16" fillId="0" borderId="74" xfId="53" applyFont="1" applyBorder="1" applyAlignment="1">
      <alignment horizontal="right" vertical="center"/>
      <protection/>
    </xf>
    <xf numFmtId="0" fontId="16" fillId="0" borderId="45" xfId="53" applyFont="1" applyBorder="1" applyAlignment="1">
      <alignment horizontal="right" vertical="center"/>
      <protection/>
    </xf>
    <xf numFmtId="0" fontId="16" fillId="0" borderId="59" xfId="53" applyFont="1" applyBorder="1" applyAlignment="1">
      <alignment horizontal="right" vertical="center"/>
      <protection/>
    </xf>
    <xf numFmtId="0" fontId="16" fillId="0" borderId="75" xfId="53" applyFont="1" applyBorder="1" applyAlignment="1">
      <alignment horizontal="right" vertical="center"/>
      <protection/>
    </xf>
    <xf numFmtId="0" fontId="16" fillId="0" borderId="42" xfId="53" applyFont="1" applyBorder="1" applyAlignment="1">
      <alignment horizontal="right" vertical="center"/>
      <protection/>
    </xf>
    <xf numFmtId="0" fontId="16" fillId="0" borderId="76" xfId="53" applyFont="1" applyBorder="1" applyAlignment="1">
      <alignment horizontal="right" vertical="center"/>
      <protection/>
    </xf>
    <xf numFmtId="0" fontId="48" fillId="13" borderId="29" xfId="0" applyFont="1" applyFill="1" applyBorder="1" applyAlignment="1">
      <alignment horizontal="center" vertical="center" wrapText="1"/>
    </xf>
    <xf numFmtId="0" fontId="49" fillId="13" borderId="30" xfId="0" applyFont="1" applyFill="1" applyBorder="1" applyAlignment="1">
      <alignment horizontal="center" vertical="center"/>
    </xf>
    <xf numFmtId="0" fontId="49" fillId="13" borderId="31" xfId="0" applyFont="1" applyFill="1" applyBorder="1" applyAlignment="1">
      <alignment horizontal="center" vertical="center"/>
    </xf>
    <xf numFmtId="4" fontId="5" fillId="13" borderId="13" xfId="0" applyNumberFormat="1" applyFont="1" applyFill="1" applyBorder="1" applyAlignment="1">
      <alignment horizontal="center" vertical="center"/>
    </xf>
    <xf numFmtId="4" fontId="5" fillId="13" borderId="14" xfId="0" applyNumberFormat="1" applyFont="1" applyFill="1" applyBorder="1" applyAlignment="1">
      <alignment horizontal="center" vertical="center"/>
    </xf>
    <xf numFmtId="0" fontId="2" fillId="42" borderId="29" xfId="0" applyFont="1" applyFill="1" applyBorder="1" applyAlignment="1">
      <alignment horizontal="center" vertical="center" wrapText="1"/>
    </xf>
    <xf numFmtId="0" fontId="2" fillId="42" borderId="30" xfId="0" applyFont="1" applyFill="1" applyBorder="1" applyAlignment="1">
      <alignment horizontal="center" vertical="center" wrapText="1"/>
    </xf>
    <xf numFmtId="0" fontId="2" fillId="42" borderId="31" xfId="0" applyFont="1" applyFill="1" applyBorder="1" applyAlignment="1">
      <alignment horizontal="center" vertical="center" wrapText="1"/>
    </xf>
    <xf numFmtId="4" fontId="2" fillId="35" borderId="13" xfId="0" applyNumberFormat="1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 horizontal="center" vertical="center" wrapText="1"/>
    </xf>
    <xf numFmtId="164" fontId="7" fillId="13" borderId="24" xfId="54" applyNumberFormat="1" applyFont="1" applyFill="1" applyBorder="1" applyAlignment="1">
      <alignment horizontal="center" vertical="center" wrapText="1"/>
      <protection/>
    </xf>
    <xf numFmtId="164" fontId="7" fillId="13" borderId="24" xfId="54" applyNumberFormat="1" applyFont="1" applyFill="1" applyBorder="1" applyAlignment="1" quotePrefix="1">
      <alignment horizontal="center" vertical="center" wrapText="1"/>
      <protection/>
    </xf>
    <xf numFmtId="164" fontId="7" fillId="13" borderId="51" xfId="54" applyNumberFormat="1" applyFont="1" applyFill="1" applyBorder="1" applyAlignment="1" quotePrefix="1">
      <alignment horizontal="center" vertical="center" wrapText="1"/>
      <protection/>
    </xf>
    <xf numFmtId="0" fontId="2" fillId="35" borderId="19" xfId="0" applyFont="1" applyFill="1" applyBorder="1" applyAlignment="1">
      <alignment vertical="center" wrapText="1"/>
    </xf>
    <xf numFmtId="164" fontId="7" fillId="13" borderId="19" xfId="54" applyNumberFormat="1" applyFont="1" applyFill="1" applyBorder="1" applyAlignment="1" quotePrefix="1">
      <alignment horizontal="center" vertical="center" wrapText="1"/>
      <protection/>
    </xf>
    <xf numFmtId="4" fontId="114" fillId="35" borderId="13" xfId="0" applyNumberFormat="1" applyFont="1" applyFill="1" applyBorder="1" applyAlignment="1">
      <alignment horizontal="center" vertical="center" wrapText="1"/>
    </xf>
    <xf numFmtId="4" fontId="114" fillId="35" borderId="14" xfId="0" applyNumberFormat="1" applyFont="1" applyFill="1" applyBorder="1" applyAlignment="1">
      <alignment horizontal="center" vertical="center" wrapText="1"/>
    </xf>
    <xf numFmtId="0" fontId="5" fillId="6" borderId="19" xfId="0" applyNumberFormat="1" applyFont="1" applyFill="1" applyBorder="1" applyAlignment="1" applyProtection="1">
      <alignment vertical="center"/>
      <protection/>
    </xf>
    <xf numFmtId="2" fontId="2" fillId="6" borderId="13" xfId="0" applyNumberFormat="1" applyFont="1" applyFill="1" applyBorder="1" applyAlignment="1">
      <alignment horizontal="center" vertical="center"/>
    </xf>
    <xf numFmtId="2" fontId="2" fillId="6" borderId="14" xfId="0" applyNumberFormat="1" applyFont="1" applyFill="1" applyBorder="1" applyAlignment="1">
      <alignment horizontal="center" vertical="center"/>
    </xf>
    <xf numFmtId="0" fontId="114" fillId="6" borderId="19" xfId="54" applyFont="1" applyFill="1" applyBorder="1" applyAlignment="1">
      <alignment horizontal="left" vertical="center" wrapText="1"/>
      <protection/>
    </xf>
    <xf numFmtId="2" fontId="114" fillId="6" borderId="11" xfId="0" applyNumberFormat="1" applyFont="1" applyFill="1" applyBorder="1" applyAlignment="1">
      <alignment horizontal="center" vertical="center"/>
    </xf>
    <xf numFmtId="49" fontId="5" fillId="0" borderId="11" xfId="56" applyNumberFormat="1" applyFont="1" applyFill="1" applyBorder="1" applyAlignment="1" applyProtection="1" quotePrefix="1">
      <alignment horizontal="center" vertical="center" wrapText="1"/>
      <protection/>
    </xf>
    <xf numFmtId="49" fontId="5" fillId="0" borderId="11" xfId="56" applyNumberFormat="1" applyFont="1" applyFill="1" applyBorder="1" applyAlignment="1" applyProtection="1">
      <alignment horizontal="center" vertical="center" wrapText="1"/>
      <protection/>
    </xf>
    <xf numFmtId="0" fontId="2" fillId="6" borderId="19" xfId="0" applyFont="1" applyFill="1" applyBorder="1" applyAlignment="1">
      <alignment horizontal="left" vertical="center" wrapText="1"/>
    </xf>
    <xf numFmtId="2" fontId="4" fillId="42" borderId="11" xfId="44" applyNumberFormat="1" applyFont="1" applyFill="1" applyBorder="1" applyAlignment="1">
      <alignment horizontal="center" vertical="center" wrapText="1"/>
    </xf>
    <xf numFmtId="2" fontId="0" fillId="0" borderId="13" xfId="44" applyNumberFormat="1" applyFont="1" applyBorder="1" applyAlignment="1">
      <alignment horizontal="left" vertical="center" wrapText="1"/>
    </xf>
    <xf numFmtId="2" fontId="0" fillId="0" borderId="14" xfId="44" applyNumberFormat="1" applyFont="1" applyBorder="1" applyAlignment="1">
      <alignment horizontal="left" vertical="center" wrapText="1"/>
    </xf>
    <xf numFmtId="2" fontId="27" fillId="22" borderId="17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Border="1" applyAlignment="1">
      <alignment horizontal="left" vertical="center"/>
    </xf>
    <xf numFmtId="2" fontId="0" fillId="43" borderId="47" xfId="0" applyNumberFormat="1" applyFont="1" applyFill="1" applyBorder="1" applyAlignment="1">
      <alignment horizontal="center" vertical="center" wrapText="1"/>
    </xf>
    <xf numFmtId="2" fontId="0" fillId="43" borderId="46" xfId="0" applyNumberFormat="1" applyFont="1" applyFill="1" applyBorder="1" applyAlignment="1">
      <alignment horizontal="center" vertical="center" wrapText="1"/>
    </xf>
    <xf numFmtId="2" fontId="27" fillId="22" borderId="72" xfId="0" applyNumberFormat="1" applyFont="1" applyFill="1" applyBorder="1" applyAlignment="1">
      <alignment horizontal="center" vertical="center"/>
    </xf>
    <xf numFmtId="2" fontId="27" fillId="22" borderId="48" xfId="0" applyNumberFormat="1" applyFont="1" applyFill="1" applyBorder="1" applyAlignment="1">
      <alignment horizontal="center" vertical="center"/>
    </xf>
    <xf numFmtId="2" fontId="0" fillId="0" borderId="35" xfId="44" applyNumberFormat="1" applyFont="1" applyBorder="1" applyAlignment="1">
      <alignment horizontal="center" vertical="center" wrapText="1"/>
    </xf>
    <xf numFmtId="2" fontId="0" fillId="0" borderId="24" xfId="44" applyNumberFormat="1" applyFont="1" applyBorder="1" applyAlignment="1">
      <alignment horizontal="center" vertical="center" wrapText="1"/>
    </xf>
    <xf numFmtId="2" fontId="27" fillId="22" borderId="48" xfId="0" applyNumberFormat="1" applyFont="1" applyFill="1" applyBorder="1" applyAlignment="1">
      <alignment horizontal="center" vertical="center" wrapText="1"/>
    </xf>
    <xf numFmtId="2" fontId="27" fillId="22" borderId="77" xfId="0" applyNumberFormat="1" applyFont="1" applyFill="1" applyBorder="1" applyAlignment="1">
      <alignment horizontal="center" vertical="center" wrapText="1"/>
    </xf>
    <xf numFmtId="2" fontId="27" fillId="0" borderId="53" xfId="0" applyNumberFormat="1" applyFont="1" applyFill="1" applyBorder="1" applyAlignment="1">
      <alignment horizontal="center" vertical="center" textRotation="90"/>
    </xf>
    <xf numFmtId="2" fontId="27" fillId="0" borderId="54" xfId="0" applyNumberFormat="1" applyFont="1" applyFill="1" applyBorder="1" applyAlignment="1">
      <alignment horizontal="center" vertical="center" textRotation="90"/>
    </xf>
    <xf numFmtId="2" fontId="27" fillId="0" borderId="18" xfId="0" applyNumberFormat="1" applyFont="1" applyFill="1" applyBorder="1" applyAlignment="1">
      <alignment horizontal="center" vertical="center" textRotation="90"/>
    </xf>
    <xf numFmtId="2" fontId="0" fillId="0" borderId="35" xfId="44" applyNumberFormat="1" applyFont="1" applyBorder="1" applyAlignment="1">
      <alignment horizontal="center" vertical="center" wrapText="1"/>
    </xf>
    <xf numFmtId="2" fontId="0" fillId="0" borderId="24" xfId="44" applyNumberFormat="1" applyFont="1" applyBorder="1" applyAlignment="1">
      <alignment horizontal="center" vertical="center" wrapText="1"/>
    </xf>
    <xf numFmtId="2" fontId="0" fillId="0" borderId="35" xfId="0" applyNumberFormat="1" applyBorder="1" applyAlignment="1">
      <alignment horizontal="center" vertical="center" wrapText="1"/>
    </xf>
    <xf numFmtId="2" fontId="0" fillId="0" borderId="55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2" fontId="0" fillId="0" borderId="35" xfId="0" applyNumberFormat="1" applyFont="1" applyBorder="1" applyAlignment="1">
      <alignment horizontal="center" vertical="center" wrapText="1"/>
    </xf>
    <xf numFmtId="2" fontId="0" fillId="0" borderId="35" xfId="0" applyNumberFormat="1" applyFont="1" applyBorder="1" applyAlignment="1">
      <alignment horizontal="center" vertical="center"/>
    </xf>
    <xf numFmtId="2" fontId="0" fillId="0" borderId="55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35" xfId="0" applyNumberFormat="1" applyBorder="1" applyAlignment="1">
      <alignment horizontal="left" vertical="center" wrapText="1"/>
    </xf>
    <xf numFmtId="2" fontId="0" fillId="0" borderId="55" xfId="0" applyNumberFormat="1" applyFont="1" applyBorder="1" applyAlignment="1">
      <alignment horizontal="left" vertical="center" wrapText="1"/>
    </xf>
    <xf numFmtId="2" fontId="0" fillId="0" borderId="24" xfId="0" applyNumberFormat="1" applyFont="1" applyBorder="1" applyAlignment="1">
      <alignment horizontal="left" vertical="center" wrapText="1"/>
    </xf>
    <xf numFmtId="2" fontId="27" fillId="47" borderId="53" xfId="0" applyNumberFormat="1" applyFont="1" applyFill="1" applyBorder="1" applyAlignment="1">
      <alignment horizontal="center" vertical="center" textRotation="90"/>
    </xf>
    <xf numFmtId="2" fontId="27" fillId="47" borderId="54" xfId="0" applyNumberFormat="1" applyFont="1" applyFill="1" applyBorder="1" applyAlignment="1">
      <alignment horizontal="center" vertical="center" textRotation="90"/>
    </xf>
    <xf numFmtId="2" fontId="27" fillId="22" borderId="16" xfId="0" applyNumberFormat="1" applyFont="1" applyFill="1" applyBorder="1" applyAlignment="1">
      <alignment horizontal="center" vertical="center"/>
    </xf>
    <xf numFmtId="2" fontId="27" fillId="22" borderId="17" xfId="0" applyNumberFormat="1" applyFont="1" applyFill="1" applyBorder="1" applyAlignment="1">
      <alignment horizontal="center" vertical="center"/>
    </xf>
    <xf numFmtId="2" fontId="4" fillId="42" borderId="53" xfId="44" applyNumberFormat="1" applyFont="1" applyFill="1" applyBorder="1" applyAlignment="1">
      <alignment horizontal="center" vertical="center" wrapText="1"/>
    </xf>
    <xf numFmtId="2" fontId="4" fillId="42" borderId="54" xfId="44" applyNumberFormat="1" applyFont="1" applyFill="1" applyBorder="1" applyAlignment="1">
      <alignment horizontal="center" vertical="center" wrapText="1"/>
    </xf>
    <xf numFmtId="2" fontId="4" fillId="42" borderId="18" xfId="44" applyNumberFormat="1" applyFont="1" applyFill="1" applyBorder="1" applyAlignment="1">
      <alignment horizontal="center" vertical="center" wrapText="1"/>
    </xf>
    <xf numFmtId="2" fontId="0" fillId="0" borderId="57" xfId="44" applyNumberFormat="1" applyFont="1" applyBorder="1" applyAlignment="1">
      <alignment horizontal="center" vertical="center" wrapText="1"/>
    </xf>
    <xf numFmtId="2" fontId="0" fillId="0" borderId="42" xfId="44" applyNumberFormat="1" applyFont="1" applyBorder="1" applyAlignment="1">
      <alignment horizontal="center" vertical="center" wrapText="1"/>
    </xf>
    <xf numFmtId="2" fontId="0" fillId="0" borderId="60" xfId="44" applyNumberFormat="1" applyFont="1" applyBorder="1" applyAlignment="1">
      <alignment horizontal="center" vertical="center" wrapText="1"/>
    </xf>
    <xf numFmtId="2" fontId="0" fillId="0" borderId="58" xfId="44" applyNumberFormat="1" applyFont="1" applyBorder="1" applyAlignment="1">
      <alignment horizontal="center" vertical="center" wrapText="1"/>
    </xf>
    <xf numFmtId="2" fontId="0" fillId="0" borderId="0" xfId="44" applyNumberFormat="1" applyFont="1" applyBorder="1" applyAlignment="1">
      <alignment horizontal="center" vertical="center" wrapText="1"/>
    </xf>
    <xf numFmtId="2" fontId="0" fillId="0" borderId="10" xfId="44" applyNumberFormat="1" applyFont="1" applyBorder="1" applyAlignment="1">
      <alignment horizontal="center" vertical="center" wrapText="1"/>
    </xf>
    <xf numFmtId="2" fontId="0" fillId="0" borderId="47" xfId="44" applyNumberFormat="1" applyFont="1" applyBorder="1" applyAlignment="1">
      <alignment horizontal="center" vertical="center" wrapText="1"/>
    </xf>
    <xf numFmtId="2" fontId="0" fillId="0" borderId="45" xfId="44" applyNumberFormat="1" applyFont="1" applyBorder="1" applyAlignment="1">
      <alignment horizontal="center" vertical="center" wrapText="1"/>
    </xf>
    <xf numFmtId="2" fontId="0" fillId="0" borderId="46" xfId="44" applyNumberFormat="1" applyFont="1" applyBorder="1" applyAlignment="1">
      <alignment horizontal="center" vertical="center" wrapText="1"/>
    </xf>
    <xf numFmtId="2" fontId="0" fillId="0" borderId="76" xfId="44" applyNumberFormat="1" applyFont="1" applyBorder="1" applyAlignment="1">
      <alignment horizontal="center" vertical="center" wrapText="1"/>
    </xf>
    <xf numFmtId="2" fontId="0" fillId="0" borderId="39" xfId="44" applyNumberFormat="1" applyFont="1" applyBorder="1" applyAlignment="1">
      <alignment horizontal="center" vertical="center" wrapText="1"/>
    </xf>
    <xf numFmtId="2" fontId="0" fillId="0" borderId="59" xfId="44" applyNumberFormat="1" applyFont="1" applyBorder="1" applyAlignment="1">
      <alignment horizontal="center" vertical="center" wrapText="1"/>
    </xf>
    <xf numFmtId="2" fontId="4" fillId="42" borderId="12" xfId="44" applyNumberFormat="1" applyFont="1" applyFill="1" applyBorder="1" applyAlignment="1">
      <alignment horizontal="center" vertical="center" wrapText="1"/>
    </xf>
    <xf numFmtId="2" fontId="4" fillId="42" borderId="20" xfId="44" applyNumberFormat="1" applyFont="1" applyFill="1" applyBorder="1" applyAlignment="1">
      <alignment horizontal="center" vertical="center" wrapText="1"/>
    </xf>
    <xf numFmtId="2" fontId="118" fillId="0" borderId="60" xfId="44" applyNumberFormat="1" applyFont="1" applyBorder="1" applyAlignment="1">
      <alignment horizontal="center" vertical="center" wrapText="1"/>
    </xf>
    <xf numFmtId="2" fontId="0" fillId="0" borderId="78" xfId="44" applyNumberFormat="1" applyFont="1" applyBorder="1" applyAlignment="1">
      <alignment horizontal="center" vertical="center" wrapText="1"/>
    </xf>
    <xf numFmtId="2" fontId="0" fillId="0" borderId="70" xfId="44" applyNumberFormat="1" applyFont="1" applyBorder="1" applyAlignment="1">
      <alignment horizontal="center" vertical="center" wrapText="1"/>
    </xf>
    <xf numFmtId="2" fontId="0" fillId="0" borderId="71" xfId="44" applyNumberFormat="1" applyFont="1" applyBorder="1" applyAlignment="1">
      <alignment horizontal="center" vertical="center" wrapText="1"/>
    </xf>
    <xf numFmtId="2" fontId="0" fillId="0" borderId="57" xfId="44" applyNumberFormat="1" applyFont="1" applyBorder="1" applyAlignment="1" applyProtection="1">
      <alignment horizontal="center" vertical="center" wrapText="1"/>
      <protection locked="0"/>
    </xf>
    <xf numFmtId="2" fontId="0" fillId="0" borderId="42" xfId="44" applyNumberFormat="1" applyFont="1" applyBorder="1" applyAlignment="1" applyProtection="1">
      <alignment horizontal="center" vertical="center" wrapText="1"/>
      <protection locked="0"/>
    </xf>
    <xf numFmtId="2" fontId="0" fillId="0" borderId="76" xfId="44" applyNumberFormat="1" applyFont="1" applyBorder="1" applyAlignment="1" applyProtection="1">
      <alignment horizontal="center" vertical="center" wrapText="1"/>
      <protection locked="0"/>
    </xf>
    <xf numFmtId="2" fontId="0" fillId="0" borderId="58" xfId="44" applyNumberFormat="1" applyFont="1" applyBorder="1" applyAlignment="1" applyProtection="1">
      <alignment horizontal="center" vertical="center" wrapText="1"/>
      <protection locked="0"/>
    </xf>
    <xf numFmtId="2" fontId="0" fillId="0" borderId="0" xfId="44" applyNumberFormat="1" applyFont="1" applyBorder="1" applyAlignment="1" applyProtection="1">
      <alignment horizontal="center" vertical="center" wrapText="1"/>
      <protection locked="0"/>
    </xf>
    <xf numFmtId="2" fontId="0" fillId="0" borderId="39" xfId="44" applyNumberFormat="1" applyFont="1" applyBorder="1" applyAlignment="1" applyProtection="1">
      <alignment horizontal="center" vertical="center" wrapText="1"/>
      <protection locked="0"/>
    </xf>
    <xf numFmtId="2" fontId="0" fillId="0" borderId="78" xfId="44" applyNumberFormat="1" applyFont="1" applyBorder="1" applyAlignment="1" applyProtection="1">
      <alignment horizontal="center" vertical="center" wrapText="1"/>
      <protection locked="0"/>
    </xf>
    <xf numFmtId="2" fontId="0" fillId="0" borderId="70" xfId="44" applyNumberFormat="1" applyFont="1" applyBorder="1" applyAlignment="1" applyProtection="1">
      <alignment horizontal="center" vertical="center" wrapText="1"/>
      <protection locked="0"/>
    </xf>
    <xf numFmtId="2" fontId="0" fillId="0" borderId="41" xfId="44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>
      <alignment horizontal="center"/>
    </xf>
    <xf numFmtId="0" fontId="41" fillId="0" borderId="0" xfId="0" applyFont="1" applyAlignment="1">
      <alignment horizontal="left" wrapText="1"/>
    </xf>
    <xf numFmtId="2" fontId="0" fillId="0" borderId="11" xfId="44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35" xfId="44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2" fontId="38" fillId="0" borderId="11" xfId="0" applyNumberFormat="1" applyFont="1" applyBorder="1" applyAlignment="1">
      <alignment horizontal="center" vertical="center"/>
    </xf>
    <xf numFmtId="2" fontId="0" fillId="0" borderId="35" xfId="0" applyNumberFormat="1" applyFont="1" applyBorder="1" applyAlignment="1">
      <alignment horizontal="center" vertical="center"/>
    </xf>
    <xf numFmtId="2" fontId="0" fillId="0" borderId="55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right" vertical="top"/>
    </xf>
    <xf numFmtId="0" fontId="35" fillId="0" borderId="45" xfId="0" applyFont="1" applyBorder="1" applyAlignment="1">
      <alignment horizontal="right" vertical="top"/>
    </xf>
    <xf numFmtId="0" fontId="3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9" fillId="41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9" fillId="41" borderId="11" xfId="0" applyFont="1" applyFill="1" applyBorder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/>
    </xf>
    <xf numFmtId="2" fontId="0" fillId="0" borderId="24" xfId="44" applyNumberFormat="1" applyFont="1" applyBorder="1" applyAlignment="1">
      <alignment horizontal="center" vertical="center"/>
    </xf>
    <xf numFmtId="0" fontId="41" fillId="0" borderId="47" xfId="0" applyFont="1" applyBorder="1" applyAlignment="1">
      <alignment horizontal="left" vertical="center" wrapText="1"/>
    </xf>
    <xf numFmtId="0" fontId="41" fillId="0" borderId="45" xfId="0" applyFont="1" applyBorder="1" applyAlignment="1">
      <alignment horizontal="left" vertical="center" wrapText="1"/>
    </xf>
    <xf numFmtId="0" fontId="41" fillId="0" borderId="46" xfId="0" applyFont="1" applyBorder="1" applyAlignment="1">
      <alignment horizontal="left" vertical="center" wrapText="1"/>
    </xf>
    <xf numFmtId="0" fontId="41" fillId="0" borderId="57" xfId="0" applyFont="1" applyBorder="1" applyAlignment="1">
      <alignment horizontal="left" vertical="center" wrapText="1"/>
    </xf>
    <xf numFmtId="0" fontId="41" fillId="0" borderId="42" xfId="0" applyFont="1" applyBorder="1" applyAlignment="1">
      <alignment horizontal="left" vertical="center" wrapText="1"/>
    </xf>
    <xf numFmtId="0" fontId="41" fillId="0" borderId="60" xfId="0" applyFont="1" applyBorder="1" applyAlignment="1">
      <alignment horizontal="left" vertical="center" wrapText="1"/>
    </xf>
    <xf numFmtId="0" fontId="41" fillId="0" borderId="58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2" fontId="41" fillId="0" borderId="42" xfId="0" applyNumberFormat="1" applyFont="1" applyBorder="1" applyAlignment="1">
      <alignment horizontal="right" vertical="center"/>
    </xf>
    <xf numFmtId="2" fontId="41" fillId="0" borderId="0" xfId="0" applyNumberFormat="1" applyFont="1" applyBorder="1" applyAlignment="1">
      <alignment horizontal="right" vertical="center"/>
    </xf>
    <xf numFmtId="0" fontId="41" fillId="0" borderId="6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2" fontId="41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2" fontId="3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38" fillId="0" borderId="13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left" vertical="center" wrapText="1"/>
    </xf>
    <xf numFmtId="2" fontId="43" fillId="0" borderId="11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7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2" fontId="38" fillId="0" borderId="57" xfId="0" applyNumberFormat="1" applyFont="1" applyBorder="1" applyAlignment="1">
      <alignment horizontal="left" vertical="center" wrapText="1"/>
    </xf>
    <xf numFmtId="2" fontId="38" fillId="0" borderId="42" xfId="0" applyNumberFormat="1" applyFont="1" applyBorder="1" applyAlignment="1">
      <alignment horizontal="left" vertical="center" wrapText="1"/>
    </xf>
    <xf numFmtId="2" fontId="38" fillId="0" borderId="60" xfId="0" applyNumberFormat="1" applyFont="1" applyBorder="1" applyAlignment="1">
      <alignment horizontal="left" vertical="center" wrapText="1"/>
    </xf>
    <xf numFmtId="2" fontId="38" fillId="0" borderId="47" xfId="0" applyNumberFormat="1" applyFont="1" applyBorder="1" applyAlignment="1">
      <alignment horizontal="left" vertical="center" wrapText="1"/>
    </xf>
    <xf numFmtId="2" fontId="38" fillId="0" borderId="45" xfId="0" applyNumberFormat="1" applyFont="1" applyBorder="1" applyAlignment="1">
      <alignment horizontal="left" vertical="center" wrapText="1"/>
    </xf>
    <xf numFmtId="2" fontId="38" fillId="0" borderId="46" xfId="0" applyNumberFormat="1" applyFont="1" applyBorder="1" applyAlignment="1">
      <alignment horizontal="left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2" fontId="0" fillId="0" borderId="35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0" fillId="0" borderId="58" xfId="0" applyBorder="1" applyAlignment="1">
      <alignment horizontal="center"/>
    </xf>
    <xf numFmtId="0" fontId="0" fillId="0" borderId="0" xfId="0" applyBorder="1" applyAlignment="1">
      <alignment horizontal="center"/>
    </xf>
    <xf numFmtId="0" fontId="35" fillId="0" borderId="0" xfId="0" applyFont="1" applyAlignment="1">
      <alignment horizontal="right" vertical="center"/>
    </xf>
    <xf numFmtId="0" fontId="44" fillId="0" borderId="0" xfId="0" applyFont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2" fontId="38" fillId="0" borderId="79" xfId="0" applyNumberFormat="1" applyFont="1" applyBorder="1" applyAlignment="1">
      <alignment horizontal="center" vertical="center"/>
    </xf>
    <xf numFmtId="2" fontId="38" fillId="0" borderId="80" xfId="0" applyNumberFormat="1" applyFont="1" applyBorder="1" applyAlignment="1">
      <alignment horizontal="center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Normalny_Tabela zbiorcza cz.1 (0030-0035)" xfId="54"/>
    <cellStyle name="Normalny_Wzór tabeli" xfId="55"/>
    <cellStyle name="Normalny_Wzór tabeli 2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21</xdr:row>
      <xdr:rowOff>57150</xdr:rowOff>
    </xdr:from>
    <xdr:to>
      <xdr:col>9</xdr:col>
      <xdr:colOff>266700</xdr:colOff>
      <xdr:row>25</xdr:row>
      <xdr:rowOff>114300</xdr:rowOff>
    </xdr:to>
    <xdr:pic>
      <xdr:nvPicPr>
        <xdr:cNvPr id="1" name="Obraz 2" descr="516px-POL_powiat_ropczycko-sędziszowski_CO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5848350"/>
          <a:ext cx="10668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kty%202012r\14_Kosztorys%20chodnik%20Brzezowka\1_KI_KO_PR_Brzezow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"/>
      <sheetName val="Przedmiar"/>
      <sheetName val="ofertowy"/>
      <sheetName val="KO1"/>
      <sheetName val="KO2"/>
      <sheetName val="KO3"/>
      <sheetName val="KI1"/>
      <sheetName val="KI2"/>
      <sheetName val="KI3"/>
      <sheetName val="KI4"/>
      <sheetName val="PR1"/>
      <sheetName val="PR2"/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SheetLayoutView="100" zoomScalePageLayoutView="0" workbookViewId="0" topLeftCell="A18">
      <selection activeCell="D12" sqref="D12:F12"/>
    </sheetView>
  </sheetViews>
  <sheetFormatPr defaultColWidth="9.00390625" defaultRowHeight="12.75"/>
  <cols>
    <col min="1" max="1" width="4.625" style="0" customWidth="1"/>
    <col min="3" max="3" width="10.50390625" style="0" customWidth="1"/>
    <col min="9" max="9" width="11.00390625" style="0" customWidth="1"/>
    <col min="10" max="10" width="6.50390625" style="0" customWidth="1"/>
  </cols>
  <sheetData>
    <row r="1" ht="15" hidden="1">
      <c r="B1" s="665"/>
    </row>
    <row r="2" ht="15" hidden="1">
      <c r="B2" s="665"/>
    </row>
    <row r="3" spans="1:10" ht="44.25" customHeight="1">
      <c r="A3" s="666"/>
      <c r="B3" s="733" t="s">
        <v>1054</v>
      </c>
      <c r="C3" s="733"/>
      <c r="D3" s="735" t="s">
        <v>1078</v>
      </c>
      <c r="E3" s="735"/>
      <c r="F3" s="735"/>
      <c r="G3" s="735"/>
      <c r="H3" s="735"/>
      <c r="I3" s="735"/>
      <c r="J3" s="736"/>
    </row>
    <row r="4" spans="1:10" ht="8.25" customHeight="1">
      <c r="A4" s="667"/>
      <c r="B4" s="734"/>
      <c r="C4" s="734"/>
      <c r="D4" s="737"/>
      <c r="E4" s="737"/>
      <c r="F4" s="737"/>
      <c r="G4" s="737"/>
      <c r="H4" s="737"/>
      <c r="I4" s="737"/>
      <c r="J4" s="738"/>
    </row>
    <row r="5" spans="1:10" ht="12.75" customHeight="1" hidden="1">
      <c r="A5" s="667"/>
      <c r="B5" s="734"/>
      <c r="C5" s="734"/>
      <c r="D5" s="737"/>
      <c r="E5" s="737"/>
      <c r="F5" s="737"/>
      <c r="G5" s="737"/>
      <c r="H5" s="737"/>
      <c r="I5" s="737"/>
      <c r="J5" s="738"/>
    </row>
    <row r="6" spans="1:10" ht="60.75" customHeight="1">
      <c r="A6" s="667"/>
      <c r="B6" s="734" t="s">
        <v>1055</v>
      </c>
      <c r="C6" s="734"/>
      <c r="D6" s="739" t="str">
        <f>PR2_pozwolenie!A2</f>
        <v>PRZEBUDOWA CHODNIKA DLA PIESZYCH WRAZ Z PRZEBUDOWĄ I ZABEZPIECZENIEM SKARPY W CIĄGU ULICY POWIATOWEJ 
NR 1358R UL. WYSZYŃSKIEGO W ROPCZYCACH OD KM 0+347,25 DO KM 0+444,50</v>
      </c>
      <c r="E6" s="739"/>
      <c r="F6" s="739"/>
      <c r="G6" s="739"/>
      <c r="H6" s="739"/>
      <c r="I6" s="739"/>
      <c r="J6" s="740"/>
    </row>
    <row r="7" spans="1:10" ht="26.25" customHeight="1">
      <c r="A7" s="667"/>
      <c r="B7" s="734"/>
      <c r="C7" s="734"/>
      <c r="D7" s="739"/>
      <c r="E7" s="739"/>
      <c r="F7" s="739"/>
      <c r="G7" s="739"/>
      <c r="H7" s="739"/>
      <c r="I7" s="739"/>
      <c r="J7" s="740"/>
    </row>
    <row r="8" spans="1:10" ht="45" customHeight="1">
      <c r="A8" s="667"/>
      <c r="B8" s="734" t="s">
        <v>1056</v>
      </c>
      <c r="C8" s="734"/>
      <c r="D8" s="739" t="s">
        <v>1079</v>
      </c>
      <c r="E8" s="739"/>
      <c r="F8" s="739"/>
      <c r="G8" s="739"/>
      <c r="H8" s="739"/>
      <c r="I8" s="739"/>
      <c r="J8" s="740"/>
    </row>
    <row r="9" spans="1:10" ht="49.5" customHeight="1">
      <c r="A9" s="667"/>
      <c r="B9" s="734" t="s">
        <v>1057</v>
      </c>
      <c r="C9" s="734"/>
      <c r="D9" s="739" t="s">
        <v>1081</v>
      </c>
      <c r="E9" s="739"/>
      <c r="F9" s="739"/>
      <c r="G9" s="739"/>
      <c r="H9" s="739"/>
      <c r="I9" s="739"/>
      <c r="J9" s="740"/>
    </row>
    <row r="10" spans="1:10" ht="51.75" customHeight="1">
      <c r="A10" s="667"/>
      <c r="B10" s="734"/>
      <c r="C10" s="734"/>
      <c r="D10" s="739" t="s">
        <v>1080</v>
      </c>
      <c r="E10" s="739"/>
      <c r="F10" s="739"/>
      <c r="G10" s="739"/>
      <c r="H10" s="739"/>
      <c r="I10" s="739"/>
      <c r="J10" s="740"/>
    </row>
    <row r="11" spans="1:10" ht="15" customHeight="1">
      <c r="A11" s="667"/>
      <c r="B11" s="734"/>
      <c r="C11" s="734"/>
      <c r="D11" s="743" t="s">
        <v>1058</v>
      </c>
      <c r="E11" s="743"/>
      <c r="F11" s="743"/>
      <c r="G11" s="298"/>
      <c r="H11" s="298"/>
      <c r="I11" s="298"/>
      <c r="J11" s="668"/>
    </row>
    <row r="12" spans="1:10" ht="30" customHeight="1">
      <c r="A12" s="667"/>
      <c r="B12" s="734"/>
      <c r="C12" s="734"/>
      <c r="D12" s="743" t="s">
        <v>1059</v>
      </c>
      <c r="E12" s="743"/>
      <c r="F12" s="743"/>
      <c r="G12" s="298"/>
      <c r="H12" s="298"/>
      <c r="I12" s="298"/>
      <c r="J12" s="668"/>
    </row>
    <row r="13" spans="1:10" ht="15" customHeight="1">
      <c r="A13" s="667"/>
      <c r="B13" s="734"/>
      <c r="C13" s="734"/>
      <c r="D13" s="672" t="s">
        <v>1082</v>
      </c>
      <c r="E13" s="672"/>
      <c r="F13" s="672"/>
      <c r="G13" s="680"/>
      <c r="H13" s="680"/>
      <c r="I13" s="298"/>
      <c r="J13" s="668"/>
    </row>
    <row r="14" spans="1:10" ht="15">
      <c r="A14" s="667"/>
      <c r="B14" s="734"/>
      <c r="C14" s="734"/>
      <c r="D14" s="743"/>
      <c r="E14" s="743"/>
      <c r="F14" s="743"/>
      <c r="G14" s="298"/>
      <c r="H14" s="298"/>
      <c r="I14" s="298"/>
      <c r="J14" s="668"/>
    </row>
    <row r="15" spans="1:10" ht="12.75" hidden="1">
      <c r="A15" s="667"/>
      <c r="B15" s="734" t="s">
        <v>1060</v>
      </c>
      <c r="C15" s="734"/>
      <c r="D15" s="744">
        <v>911</v>
      </c>
      <c r="E15" s="744"/>
      <c r="F15" s="744"/>
      <c r="G15" s="298"/>
      <c r="H15" s="298"/>
      <c r="I15" s="298"/>
      <c r="J15" s="668"/>
    </row>
    <row r="16" spans="1:10" ht="12.75" hidden="1">
      <c r="A16" s="667"/>
      <c r="B16" s="734"/>
      <c r="C16" s="734"/>
      <c r="D16" s="744"/>
      <c r="E16" s="744"/>
      <c r="F16" s="744"/>
      <c r="G16" s="298"/>
      <c r="H16" s="298"/>
      <c r="I16" s="298"/>
      <c r="J16" s="668"/>
    </row>
    <row r="17" spans="1:10" ht="12.75" hidden="1">
      <c r="A17" s="667"/>
      <c r="B17" s="734"/>
      <c r="C17" s="734"/>
      <c r="D17" s="744"/>
      <c r="E17" s="744"/>
      <c r="F17" s="744"/>
      <c r="G17" s="298"/>
      <c r="H17" s="298"/>
      <c r="I17" s="298"/>
      <c r="J17" s="668"/>
    </row>
    <row r="18" spans="1:10" ht="12.75" customHeight="1">
      <c r="A18" s="667"/>
      <c r="B18" s="741" t="s">
        <v>1061</v>
      </c>
      <c r="C18" s="741"/>
      <c r="D18" s="745" t="s">
        <v>1062</v>
      </c>
      <c r="E18" s="745"/>
      <c r="F18" s="746"/>
      <c r="G18" s="746"/>
      <c r="H18" s="746"/>
      <c r="I18" s="298"/>
      <c r="J18" s="668"/>
    </row>
    <row r="19" spans="1:10" ht="12.75" customHeight="1">
      <c r="A19" s="667"/>
      <c r="B19" s="741"/>
      <c r="C19" s="741"/>
      <c r="D19" s="745"/>
      <c r="E19" s="745"/>
      <c r="F19" s="746"/>
      <c r="G19" s="746"/>
      <c r="H19" s="746"/>
      <c r="I19" s="298"/>
      <c r="J19" s="668"/>
    </row>
    <row r="20" spans="1:10" ht="12.75" customHeight="1">
      <c r="A20" s="667"/>
      <c r="B20" s="741"/>
      <c r="C20" s="741"/>
      <c r="D20" s="745"/>
      <c r="E20" s="745"/>
      <c r="F20" s="746"/>
      <c r="G20" s="746"/>
      <c r="H20" s="746"/>
      <c r="I20" s="298"/>
      <c r="J20" s="668"/>
    </row>
    <row r="21" spans="1:10" ht="57" customHeight="1">
      <c r="A21" s="667"/>
      <c r="B21" s="741" t="s">
        <v>1063</v>
      </c>
      <c r="C21" s="741"/>
      <c r="D21" s="742" t="s">
        <v>1093</v>
      </c>
      <c r="E21" s="742"/>
      <c r="F21" s="742"/>
      <c r="G21" s="742"/>
      <c r="H21" s="742"/>
      <c r="I21" s="298"/>
      <c r="J21" s="668"/>
    </row>
    <row r="22" spans="1:10" ht="25.5" customHeight="1">
      <c r="A22" s="667"/>
      <c r="B22" s="741" t="s">
        <v>1064</v>
      </c>
      <c r="C22" s="741"/>
      <c r="D22" s="747" t="s">
        <v>1083</v>
      </c>
      <c r="E22" s="747"/>
      <c r="F22" s="747"/>
      <c r="G22" s="747"/>
      <c r="H22" s="747"/>
      <c r="I22" s="298"/>
      <c r="J22" s="668"/>
    </row>
    <row r="23" spans="1:10" ht="19.5" customHeight="1">
      <c r="A23" s="667"/>
      <c r="B23" s="741"/>
      <c r="C23" s="741"/>
      <c r="D23" s="747" t="s">
        <v>1084</v>
      </c>
      <c r="E23" s="747"/>
      <c r="F23" s="747"/>
      <c r="G23" s="747"/>
      <c r="H23" s="747"/>
      <c r="I23" s="298"/>
      <c r="J23" s="668"/>
    </row>
    <row r="24" spans="1:10" ht="21" customHeight="1">
      <c r="A24" s="667"/>
      <c r="B24" s="741"/>
      <c r="C24" s="741"/>
      <c r="D24" s="739" t="s">
        <v>1065</v>
      </c>
      <c r="E24" s="739"/>
      <c r="F24" s="739"/>
      <c r="G24" s="739"/>
      <c r="H24" s="739"/>
      <c r="I24" s="298"/>
      <c r="J24" s="668"/>
    </row>
    <row r="25" spans="1:10" ht="15">
      <c r="A25" s="667"/>
      <c r="B25" s="669"/>
      <c r="C25" s="669"/>
      <c r="D25" s="670"/>
      <c r="E25" s="671"/>
      <c r="F25" s="671"/>
      <c r="G25" s="298"/>
      <c r="H25" s="298"/>
      <c r="I25" s="298"/>
      <c r="J25" s="668"/>
    </row>
    <row r="26" spans="1:10" ht="15">
      <c r="A26" s="667"/>
      <c r="B26" s="669"/>
      <c r="C26" s="669"/>
      <c r="D26" s="670"/>
      <c r="E26" s="671"/>
      <c r="F26" s="671"/>
      <c r="G26" s="298"/>
      <c r="H26" s="298"/>
      <c r="I26" s="298"/>
      <c r="J26" s="668"/>
    </row>
    <row r="27" spans="1:10" ht="15">
      <c r="A27" s="667"/>
      <c r="B27" s="672" t="s">
        <v>1066</v>
      </c>
      <c r="C27" s="672"/>
      <c r="D27" s="670"/>
      <c r="E27" s="671"/>
      <c r="F27" s="671"/>
      <c r="G27" s="298"/>
      <c r="H27" s="298"/>
      <c r="I27" s="298"/>
      <c r="J27" s="668"/>
    </row>
    <row r="28" spans="1:10" ht="15">
      <c r="A28" s="667"/>
      <c r="B28" s="669"/>
      <c r="C28" s="669"/>
      <c r="D28" s="670"/>
      <c r="E28" s="671"/>
      <c r="F28" s="671"/>
      <c r="G28" s="298"/>
      <c r="H28" s="298"/>
      <c r="I28" s="298"/>
      <c r="J28" s="668"/>
    </row>
    <row r="29" spans="1:10" ht="19.5" customHeight="1">
      <c r="A29" s="667"/>
      <c r="B29" s="748" t="s">
        <v>1067</v>
      </c>
      <c r="C29" s="673" t="s">
        <v>1068</v>
      </c>
      <c r="D29" s="749" t="s">
        <v>1069</v>
      </c>
      <c r="E29" s="749"/>
      <c r="F29" s="749"/>
      <c r="G29" s="749"/>
      <c r="H29" s="748" t="s">
        <v>1070</v>
      </c>
      <c r="I29" s="748" t="s">
        <v>1071</v>
      </c>
      <c r="J29" s="668"/>
    </row>
    <row r="30" spans="1:10" ht="20.25" customHeight="1">
      <c r="A30" s="667"/>
      <c r="B30" s="748"/>
      <c r="C30" s="673" t="s">
        <v>225</v>
      </c>
      <c r="D30" s="753" t="s">
        <v>1072</v>
      </c>
      <c r="E30" s="753"/>
      <c r="F30" s="753"/>
      <c r="G30" s="753"/>
      <c r="H30" s="748"/>
      <c r="I30" s="748"/>
      <c r="J30" s="668"/>
    </row>
    <row r="31" spans="1:10" ht="21" customHeight="1">
      <c r="A31" s="667"/>
      <c r="B31" s="750" t="s">
        <v>88</v>
      </c>
      <c r="C31" s="674" t="s">
        <v>1073</v>
      </c>
      <c r="D31" s="754" t="s">
        <v>1074</v>
      </c>
      <c r="E31" s="754"/>
      <c r="F31" s="754"/>
      <c r="G31" s="754"/>
      <c r="H31" s="751" t="s">
        <v>1075</v>
      </c>
      <c r="I31" s="752"/>
      <c r="J31" s="668"/>
    </row>
    <row r="32" spans="1:10" ht="12.75">
      <c r="A32" s="667"/>
      <c r="B32" s="750"/>
      <c r="C32" s="674" t="s">
        <v>1076</v>
      </c>
      <c r="D32" s="751"/>
      <c r="E32" s="751"/>
      <c r="F32" s="751"/>
      <c r="G32" s="751"/>
      <c r="H32" s="751"/>
      <c r="I32" s="752"/>
      <c r="J32" s="668"/>
    </row>
    <row r="33" spans="1:10" ht="24" customHeight="1" hidden="1">
      <c r="A33" s="667"/>
      <c r="B33" s="750" t="s">
        <v>89</v>
      </c>
      <c r="C33" s="674" t="s">
        <v>1073</v>
      </c>
      <c r="D33" s="751" t="s">
        <v>1077</v>
      </c>
      <c r="E33" s="751"/>
      <c r="F33" s="751"/>
      <c r="G33" s="751"/>
      <c r="H33" s="751" t="s">
        <v>1075</v>
      </c>
      <c r="I33" s="752"/>
      <c r="J33" s="668"/>
    </row>
    <row r="34" spans="1:10" ht="12.75" hidden="1">
      <c r="A34" s="667"/>
      <c r="B34" s="750"/>
      <c r="C34" s="674" t="s">
        <v>1076</v>
      </c>
      <c r="D34" s="751"/>
      <c r="E34" s="751"/>
      <c r="F34" s="751"/>
      <c r="G34" s="751"/>
      <c r="H34" s="751"/>
      <c r="I34" s="752"/>
      <c r="J34" s="668"/>
    </row>
    <row r="35" spans="1:10" ht="15">
      <c r="A35" s="667"/>
      <c r="B35" s="675"/>
      <c r="C35" s="298"/>
      <c r="D35" s="298"/>
      <c r="E35" s="298"/>
      <c r="F35" s="298"/>
      <c r="G35" s="298"/>
      <c r="H35" s="298"/>
      <c r="I35" s="298"/>
      <c r="J35" s="668"/>
    </row>
    <row r="36" spans="1:10" ht="15">
      <c r="A36" s="667"/>
      <c r="B36" s="675"/>
      <c r="C36" s="298"/>
      <c r="D36" s="298"/>
      <c r="E36" s="39" t="s">
        <v>1094</v>
      </c>
      <c r="F36" s="298"/>
      <c r="G36" s="298"/>
      <c r="H36" s="298"/>
      <c r="I36" s="298"/>
      <c r="J36" s="668"/>
    </row>
    <row r="37" spans="1:10" ht="12.75">
      <c r="A37" s="676"/>
      <c r="B37" s="677"/>
      <c r="C37" s="677"/>
      <c r="D37" s="677"/>
      <c r="E37" s="677"/>
      <c r="F37" s="677"/>
      <c r="G37" s="677"/>
      <c r="H37" s="677"/>
      <c r="I37" s="677"/>
      <c r="J37" s="678"/>
    </row>
    <row r="38" ht="15">
      <c r="B38" s="665"/>
    </row>
    <row r="45" ht="15">
      <c r="B45" s="679"/>
    </row>
    <row r="46" ht="15">
      <c r="B46" s="679"/>
    </row>
  </sheetData>
  <sheetProtection/>
  <mergeCells count="36">
    <mergeCell ref="B33:B34"/>
    <mergeCell ref="D33:G34"/>
    <mergeCell ref="H33:H34"/>
    <mergeCell ref="I33:I34"/>
    <mergeCell ref="I29:I30"/>
    <mergeCell ref="D30:G30"/>
    <mergeCell ref="B31:B32"/>
    <mergeCell ref="D31:G32"/>
    <mergeCell ref="H31:H32"/>
    <mergeCell ref="I31:I32"/>
    <mergeCell ref="B22:C24"/>
    <mergeCell ref="D22:H22"/>
    <mergeCell ref="D23:H23"/>
    <mergeCell ref="D24:H24"/>
    <mergeCell ref="B29:B30"/>
    <mergeCell ref="D29:G29"/>
    <mergeCell ref="H29:H30"/>
    <mergeCell ref="B21:C21"/>
    <mergeCell ref="D21:H21"/>
    <mergeCell ref="B9:C14"/>
    <mergeCell ref="D9:J9"/>
    <mergeCell ref="D10:J10"/>
    <mergeCell ref="D11:F11"/>
    <mergeCell ref="D12:F12"/>
    <mergeCell ref="D14:F14"/>
    <mergeCell ref="B15:C17"/>
    <mergeCell ref="D15:F17"/>
    <mergeCell ref="B18:C20"/>
    <mergeCell ref="D18:E20"/>
    <mergeCell ref="F18:H20"/>
    <mergeCell ref="B3:C5"/>
    <mergeCell ref="D3:J5"/>
    <mergeCell ref="B6:C7"/>
    <mergeCell ref="D6:J7"/>
    <mergeCell ref="B8:C8"/>
    <mergeCell ref="D8:J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V199"/>
  <sheetViews>
    <sheetView zoomScaleSheetLayoutView="100" zoomScalePageLayoutView="0" workbookViewId="0" topLeftCell="A7">
      <selection activeCell="L8" sqref="L8"/>
    </sheetView>
  </sheetViews>
  <sheetFormatPr defaultColWidth="9.125" defaultRowHeight="12.75"/>
  <cols>
    <col min="1" max="1" width="10.375" style="21" customWidth="1"/>
    <col min="2" max="2" width="15.50390625" style="49" customWidth="1"/>
    <col min="3" max="3" width="65.625" style="52" customWidth="1"/>
    <col min="4" max="4" width="10.50390625" style="53" customWidth="1"/>
    <col min="5" max="5" width="9.625" style="22" hidden="1" customWidth="1"/>
    <col min="6" max="6" width="10.625" style="24" customWidth="1"/>
    <col min="7" max="7" width="6.125" style="49" hidden="1" customWidth="1"/>
    <col min="8" max="8" width="12.125" style="49" hidden="1" customWidth="1"/>
    <col min="9" max="9" width="1.875" style="49" hidden="1" customWidth="1"/>
    <col min="10" max="10" width="10.50390625" style="22" customWidth="1"/>
    <col min="11" max="11" width="13.50390625" style="210" customWidth="1"/>
    <col min="12" max="13" width="9.125" style="49" customWidth="1"/>
    <col min="14" max="14" width="9.125" style="306" customWidth="1"/>
    <col min="15" max="15" width="13.50390625" style="317" customWidth="1"/>
    <col min="16" max="16384" width="9.125" style="49" customWidth="1"/>
  </cols>
  <sheetData>
    <row r="1" spans="1:15" s="4" customFormat="1" ht="31.5" customHeight="1">
      <c r="A1" s="830" t="s">
        <v>72</v>
      </c>
      <c r="B1" s="831"/>
      <c r="C1" s="831"/>
      <c r="D1" s="831"/>
      <c r="E1" s="831"/>
      <c r="F1" s="831"/>
      <c r="G1" s="831"/>
      <c r="H1" s="831"/>
      <c r="I1" s="831"/>
      <c r="J1" s="831"/>
      <c r="K1" s="832"/>
      <c r="N1" s="305"/>
      <c r="O1" s="316"/>
    </row>
    <row r="2" spans="1:15" s="4" customFormat="1" ht="39" customHeight="1">
      <c r="A2" s="833" t="e">
        <f>#REF!</f>
        <v>#REF!</v>
      </c>
      <c r="B2" s="834"/>
      <c r="C2" s="834"/>
      <c r="D2" s="834"/>
      <c r="E2" s="834"/>
      <c r="F2" s="834"/>
      <c r="G2" s="834"/>
      <c r="H2" s="834"/>
      <c r="I2" s="834"/>
      <c r="J2" s="834"/>
      <c r="K2" s="835"/>
      <c r="N2" s="305"/>
      <c r="O2" s="316"/>
    </row>
    <row r="3" spans="1:15" ht="40.5" customHeight="1">
      <c r="A3" s="86" t="s">
        <v>3</v>
      </c>
      <c r="B3" s="98" t="s">
        <v>228</v>
      </c>
      <c r="C3" s="97" t="s">
        <v>215</v>
      </c>
      <c r="D3" s="97" t="s">
        <v>5</v>
      </c>
      <c r="E3" s="26" t="s">
        <v>6</v>
      </c>
      <c r="F3" s="100" t="s">
        <v>6</v>
      </c>
      <c r="G3" s="130"/>
      <c r="H3" s="26" t="s">
        <v>70</v>
      </c>
      <c r="I3" s="26" t="s">
        <v>71</v>
      </c>
      <c r="J3" s="100" t="s">
        <v>214</v>
      </c>
      <c r="K3" s="116" t="s">
        <v>71</v>
      </c>
      <c r="N3" s="306" t="s">
        <v>494</v>
      </c>
      <c r="O3" s="317" t="s">
        <v>495</v>
      </c>
    </row>
    <row r="4" spans="1:11" ht="19.5" customHeight="1">
      <c r="A4" s="27" t="s">
        <v>33</v>
      </c>
      <c r="B4" s="827" t="s">
        <v>140</v>
      </c>
      <c r="C4" s="828"/>
      <c r="D4" s="828"/>
      <c r="E4" s="828"/>
      <c r="F4" s="828"/>
      <c r="G4" s="828"/>
      <c r="H4" s="828"/>
      <c r="I4" s="828"/>
      <c r="J4" s="828"/>
      <c r="K4" s="829"/>
    </row>
    <row r="5" spans="1:11" ht="21.75" customHeight="1">
      <c r="A5" s="28" t="s">
        <v>58</v>
      </c>
      <c r="B5" s="25" t="s">
        <v>73</v>
      </c>
      <c r="C5" s="816" t="s">
        <v>50</v>
      </c>
      <c r="D5" s="816"/>
      <c r="E5" s="816"/>
      <c r="F5" s="816"/>
      <c r="G5" s="816"/>
      <c r="H5" s="816"/>
      <c r="I5" s="816"/>
      <c r="J5" s="816"/>
      <c r="K5" s="817"/>
    </row>
    <row r="6" spans="1:11" ht="18.75" customHeight="1">
      <c r="A6" s="84" t="s">
        <v>34</v>
      </c>
      <c r="B6" s="85" t="s">
        <v>69</v>
      </c>
      <c r="C6" s="814" t="s">
        <v>109</v>
      </c>
      <c r="D6" s="814"/>
      <c r="E6" s="814"/>
      <c r="F6" s="814"/>
      <c r="G6" s="814"/>
      <c r="H6" s="814"/>
      <c r="I6" s="814"/>
      <c r="J6" s="814"/>
      <c r="K6" s="815"/>
    </row>
    <row r="7" spans="1:15" s="164" customFormat="1" ht="18.75" customHeight="1">
      <c r="A7" s="86" t="s">
        <v>110</v>
      </c>
      <c r="B7" s="87" t="str">
        <f aca="true" t="shared" si="0" ref="B7:B13">B6</f>
        <v>00.00.00</v>
      </c>
      <c r="C7" s="340" t="s">
        <v>143</v>
      </c>
      <c r="D7" s="106" t="s">
        <v>446</v>
      </c>
      <c r="E7" s="341">
        <v>2</v>
      </c>
      <c r="F7" s="341">
        <v>1</v>
      </c>
      <c r="G7" s="270"/>
      <c r="H7" s="271"/>
      <c r="I7" s="271"/>
      <c r="J7" s="106">
        <v>3000</v>
      </c>
      <c r="K7" s="121">
        <f>J7*F7</f>
        <v>3000</v>
      </c>
      <c r="N7" s="307"/>
      <c r="O7" s="318"/>
    </row>
    <row r="8" spans="1:11" ht="40.5" customHeight="1">
      <c r="A8" s="86" t="s">
        <v>111</v>
      </c>
      <c r="B8" s="87" t="str">
        <f t="shared" si="0"/>
        <v>00.00.00</v>
      </c>
      <c r="C8" s="340" t="s">
        <v>197</v>
      </c>
      <c r="D8" s="106" t="str">
        <f aca="true" t="shared" si="1" ref="D8:D13">D7</f>
        <v>ryczałt</v>
      </c>
      <c r="E8" s="341">
        <v>1</v>
      </c>
      <c r="F8" s="341">
        <f aca="true" t="shared" si="2" ref="F8:F13">E8</f>
        <v>1</v>
      </c>
      <c r="G8" s="270"/>
      <c r="H8" s="271"/>
      <c r="I8" s="271"/>
      <c r="J8" s="106">
        <v>1000</v>
      </c>
      <c r="K8" s="121">
        <f aca="true" t="shared" si="3" ref="K8:K13">J8*F8</f>
        <v>1000</v>
      </c>
    </row>
    <row r="9" spans="1:11" ht="20.25" customHeight="1">
      <c r="A9" s="86" t="s">
        <v>112</v>
      </c>
      <c r="B9" s="87" t="str">
        <f t="shared" si="0"/>
        <v>00.00.00</v>
      </c>
      <c r="C9" s="340" t="s">
        <v>229</v>
      </c>
      <c r="D9" s="106" t="str">
        <f t="shared" si="1"/>
        <v>ryczałt</v>
      </c>
      <c r="E9" s="341">
        <v>1</v>
      </c>
      <c r="F9" s="341">
        <f t="shared" si="2"/>
        <v>1</v>
      </c>
      <c r="G9" s="270"/>
      <c r="H9" s="271"/>
      <c r="I9" s="271"/>
      <c r="J9" s="106">
        <v>500</v>
      </c>
      <c r="K9" s="121">
        <f t="shared" si="3"/>
        <v>500</v>
      </c>
    </row>
    <row r="10" spans="1:11" ht="44.25" customHeight="1">
      <c r="A10" s="86" t="s">
        <v>113</v>
      </c>
      <c r="B10" s="87" t="str">
        <f t="shared" si="0"/>
        <v>00.00.00</v>
      </c>
      <c r="C10" s="340" t="s">
        <v>230</v>
      </c>
      <c r="D10" s="106" t="str">
        <f t="shared" si="1"/>
        <v>ryczałt</v>
      </c>
      <c r="E10" s="341">
        <v>1</v>
      </c>
      <c r="F10" s="341">
        <f t="shared" si="2"/>
        <v>1</v>
      </c>
      <c r="G10" s="270"/>
      <c r="H10" s="271"/>
      <c r="I10" s="271"/>
      <c r="J10" s="106">
        <v>500</v>
      </c>
      <c r="K10" s="121">
        <f t="shared" si="3"/>
        <v>500</v>
      </c>
    </row>
    <row r="11" spans="1:11" ht="28.5" customHeight="1">
      <c r="A11" s="86" t="s">
        <v>114</v>
      </c>
      <c r="B11" s="87" t="str">
        <f>B10</f>
        <v>00.00.00</v>
      </c>
      <c r="C11" s="340" t="s">
        <v>449</v>
      </c>
      <c r="D11" s="106" t="str">
        <f t="shared" si="1"/>
        <v>ryczałt</v>
      </c>
      <c r="E11" s="341">
        <v>2</v>
      </c>
      <c r="F11" s="341">
        <v>1</v>
      </c>
      <c r="G11" s="270"/>
      <c r="H11" s="271"/>
      <c r="I11" s="271"/>
      <c r="J11" s="106">
        <v>3000</v>
      </c>
      <c r="K11" s="121">
        <f t="shared" si="3"/>
        <v>3000</v>
      </c>
    </row>
    <row r="12" spans="1:11" ht="28.5" customHeight="1">
      <c r="A12" s="86" t="s">
        <v>115</v>
      </c>
      <c r="B12" s="87" t="str">
        <f t="shared" si="0"/>
        <v>00.00.00</v>
      </c>
      <c r="C12" s="340" t="s">
        <v>450</v>
      </c>
      <c r="D12" s="106" t="str">
        <f t="shared" si="1"/>
        <v>ryczałt</v>
      </c>
      <c r="E12" s="341">
        <v>1</v>
      </c>
      <c r="F12" s="341">
        <f t="shared" si="2"/>
        <v>1</v>
      </c>
      <c r="G12" s="270"/>
      <c r="H12" s="271"/>
      <c r="I12" s="271"/>
      <c r="J12" s="106">
        <v>1500</v>
      </c>
      <c r="K12" s="121">
        <f t="shared" si="3"/>
        <v>1500</v>
      </c>
    </row>
    <row r="13" spans="1:13" ht="76.5">
      <c r="A13" s="86" t="s">
        <v>144</v>
      </c>
      <c r="B13" s="87" t="str">
        <f t="shared" si="0"/>
        <v>00.00.00</v>
      </c>
      <c r="C13" s="340" t="s">
        <v>445</v>
      </c>
      <c r="D13" s="106" t="str">
        <f t="shared" si="1"/>
        <v>ryczałt</v>
      </c>
      <c r="E13" s="341">
        <v>1</v>
      </c>
      <c r="F13" s="341">
        <f t="shared" si="2"/>
        <v>1</v>
      </c>
      <c r="G13" s="270"/>
      <c r="H13" s="271"/>
      <c r="I13" s="271"/>
      <c r="J13" s="106">
        <v>2500</v>
      </c>
      <c r="K13" s="121">
        <f t="shared" si="3"/>
        <v>2500</v>
      </c>
      <c r="M13" s="157"/>
    </row>
    <row r="14" spans="1:13" ht="25.5" customHeight="1">
      <c r="A14" s="824" t="s">
        <v>435</v>
      </c>
      <c r="B14" s="825"/>
      <c r="C14" s="825"/>
      <c r="D14" s="825"/>
      <c r="E14" s="825"/>
      <c r="F14" s="825"/>
      <c r="G14" s="825"/>
      <c r="H14" s="825"/>
      <c r="I14" s="825"/>
      <c r="J14" s="826"/>
      <c r="K14" s="263">
        <f>SUM(K7:K13)</f>
        <v>12000</v>
      </c>
      <c r="M14" s="157"/>
    </row>
    <row r="15" spans="1:11" ht="20.25" customHeight="1">
      <c r="A15" s="27" t="s">
        <v>38</v>
      </c>
      <c r="B15" s="827" t="s">
        <v>451</v>
      </c>
      <c r="C15" s="828"/>
      <c r="D15" s="828"/>
      <c r="E15" s="828"/>
      <c r="F15" s="828"/>
      <c r="G15" s="828"/>
      <c r="H15" s="828"/>
      <c r="I15" s="828"/>
      <c r="J15" s="828"/>
      <c r="K15" s="829"/>
    </row>
    <row r="16" spans="1:15" s="1" customFormat="1" ht="27" customHeight="1">
      <c r="A16" s="28" t="s">
        <v>60</v>
      </c>
      <c r="B16" s="25" t="s">
        <v>59</v>
      </c>
      <c r="C16" s="816" t="s">
        <v>198</v>
      </c>
      <c r="D16" s="816"/>
      <c r="E16" s="816"/>
      <c r="F16" s="816"/>
      <c r="G16" s="816"/>
      <c r="H16" s="816"/>
      <c r="I16" s="816"/>
      <c r="J16" s="816"/>
      <c r="K16" s="817"/>
      <c r="N16" s="308"/>
      <c r="O16" s="319"/>
    </row>
    <row r="17" spans="1:11" ht="18" customHeight="1">
      <c r="A17" s="84" t="s">
        <v>34</v>
      </c>
      <c r="B17" s="96" t="s">
        <v>13</v>
      </c>
      <c r="C17" s="814" t="s">
        <v>116</v>
      </c>
      <c r="D17" s="814"/>
      <c r="E17" s="814"/>
      <c r="F17" s="814"/>
      <c r="G17" s="814"/>
      <c r="H17" s="814"/>
      <c r="I17" s="814"/>
      <c r="J17" s="814"/>
      <c r="K17" s="815"/>
    </row>
    <row r="18" spans="1:15" s="275" customFormat="1" ht="18.75" customHeight="1">
      <c r="A18" s="86">
        <v>2</v>
      </c>
      <c r="B18" s="98" t="s">
        <v>145</v>
      </c>
      <c r="C18" s="99" t="s">
        <v>232</v>
      </c>
      <c r="D18" s="97" t="s">
        <v>223</v>
      </c>
      <c r="E18" s="101" t="s">
        <v>34</v>
      </c>
      <c r="F18" s="101">
        <f>F19</f>
        <v>0.24</v>
      </c>
      <c r="G18" s="342"/>
      <c r="H18" s="43">
        <v>3524.44</v>
      </c>
      <c r="I18" s="43">
        <f>H18*F18</f>
        <v>845.87</v>
      </c>
      <c r="J18" s="106">
        <v>11000</v>
      </c>
      <c r="K18" s="121">
        <f>J18*F18</f>
        <v>2640</v>
      </c>
      <c r="N18" s="309">
        <v>0.065</v>
      </c>
      <c r="O18" s="320">
        <f>N18*J18</f>
        <v>715</v>
      </c>
    </row>
    <row r="19" spans="1:11" ht="90" customHeight="1" hidden="1">
      <c r="A19" s="147"/>
      <c r="B19" s="102"/>
      <c r="C19" s="103" t="s">
        <v>452</v>
      </c>
      <c r="D19" s="104" t="s">
        <v>223</v>
      </c>
      <c r="E19" s="105">
        <v>1</v>
      </c>
      <c r="F19" s="104">
        <v>0.24</v>
      </c>
      <c r="G19" s="130"/>
      <c r="H19" s="43"/>
      <c r="I19" s="43"/>
      <c r="J19" s="106"/>
      <c r="K19" s="121"/>
    </row>
    <row r="20" spans="1:15" s="164" customFormat="1" ht="18" customHeight="1">
      <c r="A20" s="84" t="s">
        <v>34</v>
      </c>
      <c r="B20" s="85" t="s">
        <v>14</v>
      </c>
      <c r="C20" s="814" t="s">
        <v>117</v>
      </c>
      <c r="D20" s="814"/>
      <c r="E20" s="814"/>
      <c r="F20" s="814"/>
      <c r="G20" s="814"/>
      <c r="H20" s="814"/>
      <c r="I20" s="814"/>
      <c r="J20" s="814"/>
      <c r="K20" s="815"/>
      <c r="N20" s="307"/>
      <c r="O20" s="318"/>
    </row>
    <row r="21" spans="1:15" s="14" customFormat="1" ht="28.5" customHeight="1">
      <c r="A21" s="86">
        <v>3</v>
      </c>
      <c r="B21" s="98" t="s">
        <v>74</v>
      </c>
      <c r="C21" s="99" t="s">
        <v>293</v>
      </c>
      <c r="D21" s="97" t="s">
        <v>199</v>
      </c>
      <c r="E21" s="101" t="s">
        <v>34</v>
      </c>
      <c r="F21" s="101">
        <f>PR2_pozwolenie!F20</f>
        <v>214</v>
      </c>
      <c r="G21" s="133"/>
      <c r="H21" s="43">
        <v>0.48</v>
      </c>
      <c r="I21" s="43">
        <f>H21*F21</f>
        <v>102.72</v>
      </c>
      <c r="J21" s="106">
        <v>4.1</v>
      </c>
      <c r="K21" s="121">
        <f>J21*F21</f>
        <v>877.4</v>
      </c>
      <c r="N21" s="310">
        <v>23.38</v>
      </c>
      <c r="O21" s="321">
        <f>J21*N21</f>
        <v>95.858</v>
      </c>
    </row>
    <row r="22" spans="1:15" ht="65.25" customHeight="1" hidden="1">
      <c r="A22" s="86"/>
      <c r="B22" s="102"/>
      <c r="C22" s="103" t="s">
        <v>311</v>
      </c>
      <c r="D22" s="104" t="s">
        <v>200</v>
      </c>
      <c r="E22" s="105">
        <v>105.14</v>
      </c>
      <c r="F22" s="101" t="s">
        <v>34</v>
      </c>
      <c r="G22" s="133"/>
      <c r="H22" s="43"/>
      <c r="I22" s="43"/>
      <c r="J22" s="206"/>
      <c r="K22" s="207"/>
      <c r="O22" s="321">
        <f aca="true" t="shared" si="4" ref="O22:O52">J22*N22</f>
        <v>0</v>
      </c>
    </row>
    <row r="23" spans="1:15" ht="31.5" customHeight="1">
      <c r="A23" s="86">
        <v>4</v>
      </c>
      <c r="B23" s="98" t="s">
        <v>295</v>
      </c>
      <c r="C23" s="99" t="s">
        <v>294</v>
      </c>
      <c r="D23" s="97" t="s">
        <v>199</v>
      </c>
      <c r="E23" s="101" t="s">
        <v>34</v>
      </c>
      <c r="F23" s="101">
        <f>PR2_pozwolenie!F22</f>
        <v>0</v>
      </c>
      <c r="G23" s="133"/>
      <c r="H23" s="43"/>
      <c r="I23" s="43"/>
      <c r="J23" s="106">
        <v>5.5</v>
      </c>
      <c r="K23" s="121">
        <f>J23*F23</f>
        <v>0</v>
      </c>
      <c r="N23" s="306">
        <v>73.45</v>
      </c>
      <c r="O23" s="321">
        <f t="shared" si="4"/>
        <v>403.975</v>
      </c>
    </row>
    <row r="24" spans="1:15" ht="52.5" customHeight="1" hidden="1">
      <c r="A24" s="86"/>
      <c r="B24" s="102"/>
      <c r="C24" s="103" t="s">
        <v>312</v>
      </c>
      <c r="D24" s="104" t="s">
        <v>200</v>
      </c>
      <c r="E24" s="105">
        <v>306.77</v>
      </c>
      <c r="F24" s="105" t="s">
        <v>34</v>
      </c>
      <c r="G24" s="130"/>
      <c r="H24" s="43"/>
      <c r="I24" s="43"/>
      <c r="J24" s="206"/>
      <c r="K24" s="207"/>
      <c r="O24" s="321">
        <f t="shared" si="4"/>
        <v>0</v>
      </c>
    </row>
    <row r="25" spans="1:15" s="164" customFormat="1" ht="18" customHeight="1">
      <c r="A25" s="84" t="s">
        <v>34</v>
      </c>
      <c r="B25" s="85" t="s">
        <v>15</v>
      </c>
      <c r="C25" s="814" t="s">
        <v>10</v>
      </c>
      <c r="D25" s="814"/>
      <c r="E25" s="814"/>
      <c r="F25" s="814"/>
      <c r="G25" s="814"/>
      <c r="H25" s="814"/>
      <c r="I25" s="814"/>
      <c r="J25" s="814"/>
      <c r="K25" s="815"/>
      <c r="N25" s="307"/>
      <c r="O25" s="321">
        <f t="shared" si="4"/>
        <v>0</v>
      </c>
    </row>
    <row r="26" spans="1:15" s="164" customFormat="1" ht="18" customHeight="1">
      <c r="A26" s="86">
        <v>5</v>
      </c>
      <c r="B26" s="98" t="s">
        <v>30</v>
      </c>
      <c r="C26" s="99" t="s">
        <v>233</v>
      </c>
      <c r="D26" s="97" t="s">
        <v>199</v>
      </c>
      <c r="E26" s="101" t="s">
        <v>34</v>
      </c>
      <c r="F26" s="101">
        <f>PR2_pozwolenie!F25</f>
        <v>212.94</v>
      </c>
      <c r="G26" s="133"/>
      <c r="H26" s="187"/>
      <c r="I26" s="187"/>
      <c r="J26" s="106">
        <v>3.75</v>
      </c>
      <c r="K26" s="121">
        <f aca="true" t="shared" si="5" ref="K26:K52">J26*F26</f>
        <v>798.53</v>
      </c>
      <c r="N26" s="307">
        <v>21.25</v>
      </c>
      <c r="O26" s="321">
        <f t="shared" si="4"/>
        <v>79.6875</v>
      </c>
    </row>
    <row r="27" spans="1:15" s="164" customFormat="1" ht="81" customHeight="1" hidden="1">
      <c r="A27" s="86"/>
      <c r="B27" s="102"/>
      <c r="C27" s="103" t="s">
        <v>234</v>
      </c>
      <c r="D27" s="104" t="s">
        <v>200</v>
      </c>
      <c r="E27" s="105">
        <f>2.5+26.8+21.25</f>
        <v>50.55</v>
      </c>
      <c r="F27" s="101" t="str">
        <f>PR2_pozwolenie!F26</f>
        <v>x</v>
      </c>
      <c r="G27" s="133"/>
      <c r="H27" s="187"/>
      <c r="I27" s="187"/>
      <c r="J27" s="106"/>
      <c r="K27" s="121" t="e">
        <f t="shared" si="5"/>
        <v>#VALUE!</v>
      </c>
      <c r="N27" s="307"/>
      <c r="O27" s="321">
        <f t="shared" si="4"/>
        <v>0</v>
      </c>
    </row>
    <row r="28" spans="1:15" ht="43.5" customHeight="1" hidden="1">
      <c r="A28" s="93" t="s">
        <v>237</v>
      </c>
      <c r="B28" s="94" t="str">
        <f>B26</f>
        <v>01.02.04.11</v>
      </c>
      <c r="C28" s="90" t="s">
        <v>235</v>
      </c>
      <c r="D28" s="91" t="s">
        <v>201</v>
      </c>
      <c r="E28" s="92">
        <f>E27*0.15</f>
        <v>7.58</v>
      </c>
      <c r="F28" s="101">
        <f>PR2_pozwolenie!F27</f>
        <v>42.59</v>
      </c>
      <c r="G28" s="133"/>
      <c r="H28" s="187"/>
      <c r="I28" s="187"/>
      <c r="J28" s="106"/>
      <c r="K28" s="121">
        <f t="shared" si="5"/>
        <v>0</v>
      </c>
      <c r="O28" s="321">
        <f t="shared" si="4"/>
        <v>0</v>
      </c>
    </row>
    <row r="29" spans="1:15" s="14" customFormat="1" ht="19.5" customHeight="1">
      <c r="A29" s="86">
        <v>6</v>
      </c>
      <c r="B29" s="98" t="s">
        <v>119</v>
      </c>
      <c r="C29" s="99" t="s">
        <v>118</v>
      </c>
      <c r="D29" s="97" t="s">
        <v>199</v>
      </c>
      <c r="E29" s="101" t="s">
        <v>34</v>
      </c>
      <c r="F29" s="101">
        <f>PR2_pozwolenie!F28</f>
        <v>23.1</v>
      </c>
      <c r="G29" s="133"/>
      <c r="H29" s="43">
        <v>13.88</v>
      </c>
      <c r="I29" s="43">
        <f>H29*F29</f>
        <v>320.63</v>
      </c>
      <c r="J29" s="106">
        <v>5.1</v>
      </c>
      <c r="K29" s="121">
        <f t="shared" si="5"/>
        <v>117.81</v>
      </c>
      <c r="N29" s="310">
        <v>18.4</v>
      </c>
      <c r="O29" s="321">
        <f t="shared" si="4"/>
        <v>93.84</v>
      </c>
    </row>
    <row r="30" spans="1:15" s="164" customFormat="1" ht="64.5" customHeight="1" hidden="1">
      <c r="A30" s="86"/>
      <c r="B30" s="102"/>
      <c r="C30" s="103" t="s">
        <v>236</v>
      </c>
      <c r="D30" s="104" t="s">
        <v>200</v>
      </c>
      <c r="E30" s="105">
        <f>12.96+17.3+18.4</f>
        <v>48.66</v>
      </c>
      <c r="F30" s="101" t="str">
        <f>PR2_pozwolenie!F29</f>
        <v>x</v>
      </c>
      <c r="G30" s="133"/>
      <c r="H30" s="43"/>
      <c r="I30" s="43"/>
      <c r="J30" s="106"/>
      <c r="K30" s="121" t="e">
        <f t="shared" si="5"/>
        <v>#VALUE!</v>
      </c>
      <c r="N30" s="307"/>
      <c r="O30" s="321">
        <f t="shared" si="4"/>
        <v>0</v>
      </c>
    </row>
    <row r="31" spans="1:177" s="15" customFormat="1" ht="40.5" customHeight="1" hidden="1">
      <c r="A31" s="93" t="s">
        <v>35</v>
      </c>
      <c r="B31" s="94" t="str">
        <f>B29</f>
        <v>01.02.04.21</v>
      </c>
      <c r="C31" s="90" t="s">
        <v>238</v>
      </c>
      <c r="D31" s="91" t="s">
        <v>201</v>
      </c>
      <c r="E31" s="92">
        <f>E30*0.15</f>
        <v>7.3</v>
      </c>
      <c r="F31" s="101">
        <f>PR2_pozwolenie!F30</f>
        <v>3.47</v>
      </c>
      <c r="G31" s="110"/>
      <c r="H31" s="45"/>
      <c r="I31" s="45"/>
      <c r="J31" s="110"/>
      <c r="K31" s="121">
        <f t="shared" si="5"/>
        <v>0</v>
      </c>
      <c r="L31" s="78"/>
      <c r="M31" s="78"/>
      <c r="N31" s="311"/>
      <c r="O31" s="321">
        <f t="shared" si="4"/>
        <v>0</v>
      </c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</row>
    <row r="32" spans="1:177" s="15" customFormat="1" ht="20.25" customHeight="1">
      <c r="A32" s="86">
        <v>7</v>
      </c>
      <c r="B32" s="98" t="s">
        <v>31</v>
      </c>
      <c r="C32" s="99" t="s">
        <v>239</v>
      </c>
      <c r="D32" s="97" t="s">
        <v>199</v>
      </c>
      <c r="E32" s="101" t="s">
        <v>34</v>
      </c>
      <c r="F32" s="101">
        <f>PR2_pozwolenie!F31</f>
        <v>0</v>
      </c>
      <c r="G32" s="110"/>
      <c r="H32" s="45"/>
      <c r="I32" s="45"/>
      <c r="J32" s="110">
        <v>7.35</v>
      </c>
      <c r="K32" s="121">
        <f t="shared" si="5"/>
        <v>0</v>
      </c>
      <c r="L32" s="78"/>
      <c r="M32" s="78"/>
      <c r="N32" s="311">
        <v>21.25</v>
      </c>
      <c r="O32" s="321">
        <f t="shared" si="4"/>
        <v>156.1875</v>
      </c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</row>
    <row r="33" spans="1:177" s="15" customFormat="1" ht="69.75" customHeight="1" hidden="1">
      <c r="A33" s="86"/>
      <c r="B33" s="102"/>
      <c r="C33" s="103" t="s">
        <v>240</v>
      </c>
      <c r="D33" s="104" t="s">
        <v>200</v>
      </c>
      <c r="E33" s="105">
        <f>26.8+21.25</f>
        <v>48.05</v>
      </c>
      <c r="F33" s="101" t="str">
        <f>PR2_pozwolenie!F32</f>
        <v>x</v>
      </c>
      <c r="G33" s="110"/>
      <c r="H33" s="45"/>
      <c r="I33" s="45"/>
      <c r="J33" s="110"/>
      <c r="K33" s="121" t="e">
        <f t="shared" si="5"/>
        <v>#VALUE!</v>
      </c>
      <c r="L33" s="78"/>
      <c r="M33" s="78"/>
      <c r="N33" s="311"/>
      <c r="O33" s="321">
        <f t="shared" si="4"/>
        <v>0</v>
      </c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</row>
    <row r="34" spans="1:177" s="15" customFormat="1" ht="39.75" customHeight="1" hidden="1">
      <c r="A34" s="93" t="s">
        <v>146</v>
      </c>
      <c r="B34" s="94" t="str">
        <f>B32</f>
        <v>01.02.04.22</v>
      </c>
      <c r="C34" s="90" t="s">
        <v>241</v>
      </c>
      <c r="D34" s="91" t="s">
        <v>201</v>
      </c>
      <c r="E34" s="92">
        <f>E33*0.1</f>
        <v>4.81</v>
      </c>
      <c r="F34" s="101">
        <f>PR2_pozwolenie!F33</f>
        <v>3.33</v>
      </c>
      <c r="G34" s="110"/>
      <c r="H34" s="45"/>
      <c r="I34" s="45"/>
      <c r="J34" s="110"/>
      <c r="K34" s="121">
        <f t="shared" si="5"/>
        <v>0</v>
      </c>
      <c r="L34" s="78"/>
      <c r="M34" s="78"/>
      <c r="N34" s="311"/>
      <c r="O34" s="321">
        <f t="shared" si="4"/>
        <v>0</v>
      </c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</row>
    <row r="35" spans="1:177" s="15" customFormat="1" ht="39.75" customHeight="1" hidden="1">
      <c r="A35" s="93" t="s">
        <v>296</v>
      </c>
      <c r="B35" s="94" t="str">
        <f>B34</f>
        <v>01.02.04.22</v>
      </c>
      <c r="C35" s="90" t="s">
        <v>242</v>
      </c>
      <c r="D35" s="91" t="s">
        <v>11</v>
      </c>
      <c r="E35" s="92">
        <f>(808-650)+(55-12)</f>
        <v>201</v>
      </c>
      <c r="F35" s="101">
        <f>PR2_pozwolenie!F34</f>
        <v>146.42</v>
      </c>
      <c r="G35" s="110"/>
      <c r="H35" s="45"/>
      <c r="I35" s="45"/>
      <c r="J35" s="110"/>
      <c r="K35" s="121">
        <f t="shared" si="5"/>
        <v>0</v>
      </c>
      <c r="L35" s="78"/>
      <c r="M35" s="78"/>
      <c r="N35" s="311"/>
      <c r="O35" s="321">
        <f t="shared" si="4"/>
        <v>0</v>
      </c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</row>
    <row r="36" spans="1:177" s="15" customFormat="1" ht="18" customHeight="1">
      <c r="A36" s="86">
        <v>8</v>
      </c>
      <c r="B36" s="98" t="s">
        <v>149</v>
      </c>
      <c r="C36" s="99" t="s">
        <v>150</v>
      </c>
      <c r="D36" s="97" t="s">
        <v>199</v>
      </c>
      <c r="E36" s="101" t="s">
        <v>34</v>
      </c>
      <c r="F36" s="101">
        <f>PR2_pozwolenie!F34</f>
        <v>146.42</v>
      </c>
      <c r="G36" s="110"/>
      <c r="H36" s="45"/>
      <c r="I36" s="45"/>
      <c r="J36" s="110">
        <v>5.5</v>
      </c>
      <c r="K36" s="121">
        <f t="shared" si="5"/>
        <v>805.31</v>
      </c>
      <c r="L36" s="78"/>
      <c r="M36" s="78"/>
      <c r="N36" s="311"/>
      <c r="O36" s="321">
        <f t="shared" si="4"/>
        <v>0</v>
      </c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</row>
    <row r="37" spans="1:177" s="15" customFormat="1" ht="41.25" customHeight="1" hidden="1">
      <c r="A37" s="86"/>
      <c r="B37" s="102"/>
      <c r="C37" s="103" t="s">
        <v>243</v>
      </c>
      <c r="D37" s="104" t="s">
        <v>200</v>
      </c>
      <c r="E37" s="105">
        <v>2.5</v>
      </c>
      <c r="F37" s="101">
        <f>PR2_pozwolenie!F36</f>
        <v>0</v>
      </c>
      <c r="G37" s="110"/>
      <c r="H37" s="45"/>
      <c r="I37" s="45"/>
      <c r="J37" s="110"/>
      <c r="K37" s="121">
        <f t="shared" si="5"/>
        <v>0</v>
      </c>
      <c r="L37" s="78"/>
      <c r="M37" s="78"/>
      <c r="N37" s="311"/>
      <c r="O37" s="321">
        <f t="shared" si="4"/>
        <v>0</v>
      </c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</row>
    <row r="38" spans="1:177" s="15" customFormat="1" ht="38.25" customHeight="1" hidden="1">
      <c r="A38" s="93" t="s">
        <v>147</v>
      </c>
      <c r="B38" s="94" t="str">
        <f>B36</f>
        <v>01.02.04.24</v>
      </c>
      <c r="C38" s="90" t="s">
        <v>244</v>
      </c>
      <c r="D38" s="91" t="s">
        <v>201</v>
      </c>
      <c r="E38" s="92">
        <f>E37*0.06</f>
        <v>0.15</v>
      </c>
      <c r="F38" s="101">
        <f>PR2_pozwolenie!F40</f>
        <v>196</v>
      </c>
      <c r="G38" s="110"/>
      <c r="H38" s="45"/>
      <c r="I38" s="45"/>
      <c r="J38" s="110"/>
      <c r="K38" s="121">
        <f t="shared" si="5"/>
        <v>0</v>
      </c>
      <c r="L38" s="78"/>
      <c r="M38" s="78"/>
      <c r="N38" s="311"/>
      <c r="O38" s="321">
        <f t="shared" si="4"/>
        <v>0</v>
      </c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</row>
    <row r="39" spans="1:177" s="15" customFormat="1" ht="18" customHeight="1">
      <c r="A39" s="86">
        <v>9</v>
      </c>
      <c r="B39" s="98" t="s">
        <v>37</v>
      </c>
      <c r="C39" s="99" t="s">
        <v>120</v>
      </c>
      <c r="D39" s="97" t="s">
        <v>11</v>
      </c>
      <c r="E39" s="101" t="s">
        <v>34</v>
      </c>
      <c r="F39" s="101">
        <f>PR2_pozwolenie!F40</f>
        <v>196</v>
      </c>
      <c r="G39" s="110"/>
      <c r="H39" s="45"/>
      <c r="I39" s="45"/>
      <c r="J39" s="110">
        <v>7.5</v>
      </c>
      <c r="K39" s="121">
        <f t="shared" si="5"/>
        <v>1470</v>
      </c>
      <c r="L39" s="78"/>
      <c r="M39" s="78"/>
      <c r="N39" s="311"/>
      <c r="O39" s="321">
        <f t="shared" si="4"/>
        <v>0</v>
      </c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</row>
    <row r="40" spans="1:177" s="15" customFormat="1" ht="39.75" customHeight="1" hidden="1">
      <c r="A40" s="86"/>
      <c r="B40" s="102"/>
      <c r="C40" s="103" t="s">
        <v>245</v>
      </c>
      <c r="D40" s="104" t="s">
        <v>11</v>
      </c>
      <c r="E40" s="105">
        <f>4.8</f>
        <v>4.8</v>
      </c>
      <c r="F40" s="101" t="str">
        <f>PR2_pozwolenie!F41</f>
        <v>x</v>
      </c>
      <c r="G40" s="110"/>
      <c r="H40" s="45"/>
      <c r="I40" s="45"/>
      <c r="J40" s="110"/>
      <c r="K40" s="121" t="e">
        <f t="shared" si="5"/>
        <v>#VALUE!</v>
      </c>
      <c r="L40" s="78"/>
      <c r="M40" s="78"/>
      <c r="N40" s="311"/>
      <c r="O40" s="321">
        <f t="shared" si="4"/>
        <v>0</v>
      </c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</row>
    <row r="41" spans="1:177" s="15" customFormat="1" ht="40.5" customHeight="1" hidden="1">
      <c r="A41" s="93" t="s">
        <v>148</v>
      </c>
      <c r="B41" s="94" t="str">
        <f>B39</f>
        <v>01.02.04.44</v>
      </c>
      <c r="C41" s="90" t="s">
        <v>246</v>
      </c>
      <c r="D41" s="91" t="s">
        <v>201</v>
      </c>
      <c r="E41" s="92">
        <f>E40*0.08*0.25</f>
        <v>0.1</v>
      </c>
      <c r="F41" s="101">
        <f>PR2_pozwolenie!F42</f>
        <v>8.82</v>
      </c>
      <c r="G41" s="110"/>
      <c r="H41" s="45"/>
      <c r="I41" s="45"/>
      <c r="J41" s="110"/>
      <c r="K41" s="121">
        <f t="shared" si="5"/>
        <v>0</v>
      </c>
      <c r="L41" s="78"/>
      <c r="M41" s="78"/>
      <c r="N41" s="311"/>
      <c r="O41" s="321">
        <f t="shared" si="4"/>
        <v>0</v>
      </c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</row>
    <row r="42" spans="1:177" s="15" customFormat="1" ht="19.5" customHeight="1">
      <c r="A42" s="86">
        <v>10</v>
      </c>
      <c r="B42" s="98" t="s">
        <v>155</v>
      </c>
      <c r="C42" s="99" t="s">
        <v>251</v>
      </c>
      <c r="D42" s="97" t="s">
        <v>11</v>
      </c>
      <c r="E42" s="101" t="s">
        <v>34</v>
      </c>
      <c r="F42" s="101">
        <f>PR2_pozwolenie!F43</f>
        <v>78.9</v>
      </c>
      <c r="G42" s="110"/>
      <c r="H42" s="45"/>
      <c r="I42" s="45"/>
      <c r="J42" s="110">
        <v>10.5</v>
      </c>
      <c r="K42" s="121">
        <f t="shared" si="5"/>
        <v>828.45</v>
      </c>
      <c r="L42" s="78"/>
      <c r="M42" s="78"/>
      <c r="N42" s="311">
        <v>10</v>
      </c>
      <c r="O42" s="321">
        <f t="shared" si="4"/>
        <v>105</v>
      </c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</row>
    <row r="43" spans="1:177" s="15" customFormat="1" ht="42.75" customHeight="1" hidden="1">
      <c r="A43" s="93"/>
      <c r="B43" s="94"/>
      <c r="C43" s="90" t="s">
        <v>297</v>
      </c>
      <c r="D43" s="91" t="s">
        <v>11</v>
      </c>
      <c r="E43" s="92">
        <f>28</f>
        <v>28</v>
      </c>
      <c r="F43" s="101" t="str">
        <f>PR2_pozwolenie!F44</f>
        <v>x</v>
      </c>
      <c r="G43" s="110"/>
      <c r="H43" s="45"/>
      <c r="I43" s="45"/>
      <c r="J43" s="110"/>
      <c r="K43" s="121" t="e">
        <f t="shared" si="5"/>
        <v>#VALUE!</v>
      </c>
      <c r="L43" s="78"/>
      <c r="M43" s="78"/>
      <c r="N43" s="311"/>
      <c r="O43" s="321">
        <f t="shared" si="4"/>
        <v>0</v>
      </c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</row>
    <row r="44" spans="1:177" s="15" customFormat="1" ht="40.5" customHeight="1" hidden="1">
      <c r="A44" s="93" t="s">
        <v>36</v>
      </c>
      <c r="B44" s="94" t="str">
        <f>B42</f>
        <v>01.02.04.71</v>
      </c>
      <c r="C44" s="90" t="s">
        <v>250</v>
      </c>
      <c r="D44" s="91" t="s">
        <v>201</v>
      </c>
      <c r="E44" s="92">
        <f>(3.14*0.25*0.25*28-3.14*0.2*0.2*28)</f>
        <v>1.98</v>
      </c>
      <c r="F44" s="101">
        <f>PR2_pozwolenie!F45</f>
        <v>5.57</v>
      </c>
      <c r="G44" s="110"/>
      <c r="H44" s="45"/>
      <c r="I44" s="45"/>
      <c r="J44" s="110"/>
      <c r="K44" s="121">
        <f t="shared" si="5"/>
        <v>0</v>
      </c>
      <c r="L44" s="78"/>
      <c r="M44" s="78"/>
      <c r="N44" s="311"/>
      <c r="O44" s="321">
        <f t="shared" si="4"/>
        <v>0</v>
      </c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</row>
    <row r="45" spans="1:177" s="15" customFormat="1" ht="18.75" customHeight="1">
      <c r="A45" s="86">
        <v>11</v>
      </c>
      <c r="B45" s="98" t="s">
        <v>152</v>
      </c>
      <c r="C45" s="99" t="s">
        <v>258</v>
      </c>
      <c r="D45" s="97" t="s">
        <v>11</v>
      </c>
      <c r="E45" s="101" t="s">
        <v>34</v>
      </c>
      <c r="F45" s="101">
        <f>PR2_pozwolenie!F46</f>
        <v>1</v>
      </c>
      <c r="G45" s="110"/>
      <c r="H45" s="45"/>
      <c r="I45" s="45"/>
      <c r="J45" s="110">
        <v>12.5</v>
      </c>
      <c r="K45" s="121">
        <f t="shared" si="5"/>
        <v>12.5</v>
      </c>
      <c r="L45" s="78"/>
      <c r="M45" s="78"/>
      <c r="N45" s="311"/>
      <c r="O45" s="321">
        <f t="shared" si="4"/>
        <v>0</v>
      </c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</row>
    <row r="46" spans="1:177" s="15" customFormat="1" ht="64.5" customHeight="1" hidden="1">
      <c r="A46" s="93"/>
      <c r="B46" s="94"/>
      <c r="C46" s="90" t="s">
        <v>298</v>
      </c>
      <c r="D46" s="91" t="s">
        <v>11</v>
      </c>
      <c r="E46" s="92">
        <f>8+1</f>
        <v>9</v>
      </c>
      <c r="F46" s="101" t="str">
        <f>PR2_pozwolenie!F47</f>
        <v>x</v>
      </c>
      <c r="G46" s="110"/>
      <c r="H46" s="45"/>
      <c r="I46" s="45"/>
      <c r="J46" s="110"/>
      <c r="K46" s="121" t="e">
        <f t="shared" si="5"/>
        <v>#VALUE!</v>
      </c>
      <c r="L46" s="78"/>
      <c r="M46" s="78"/>
      <c r="N46" s="311"/>
      <c r="O46" s="321">
        <f t="shared" si="4"/>
        <v>0</v>
      </c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</row>
    <row r="47" spans="1:177" s="15" customFormat="1" ht="40.5" customHeight="1" hidden="1">
      <c r="A47" s="93" t="s">
        <v>151</v>
      </c>
      <c r="B47" s="94" t="str">
        <f>B45</f>
        <v>01.02.04.72</v>
      </c>
      <c r="C47" s="90" t="s">
        <v>252</v>
      </c>
      <c r="D47" s="91" t="s">
        <v>201</v>
      </c>
      <c r="E47" s="92">
        <f>(3.14*0.35*0.35*1-3.14*0.3*0.5*1)+(3.14*0.3*0.3*8-3.14*0.25*0.25*8)</f>
        <v>0.6</v>
      </c>
      <c r="F47" s="101">
        <f>PR2_pozwolenie!F48</f>
        <v>0.1</v>
      </c>
      <c r="G47" s="110"/>
      <c r="H47" s="45"/>
      <c r="I47" s="45"/>
      <c r="J47" s="110"/>
      <c r="K47" s="121">
        <f t="shared" si="5"/>
        <v>0</v>
      </c>
      <c r="L47" s="78"/>
      <c r="M47" s="78"/>
      <c r="N47" s="311"/>
      <c r="O47" s="321">
        <f t="shared" si="4"/>
        <v>0</v>
      </c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</row>
    <row r="48" spans="1:177" s="15" customFormat="1" ht="18.75" customHeight="1">
      <c r="A48" s="86">
        <v>12</v>
      </c>
      <c r="B48" s="98" t="s">
        <v>32</v>
      </c>
      <c r="C48" s="99" t="s">
        <v>153</v>
      </c>
      <c r="D48" s="97" t="s">
        <v>9</v>
      </c>
      <c r="E48" s="101" t="s">
        <v>34</v>
      </c>
      <c r="F48" s="101">
        <f>PR2_pozwolenie!F49</f>
        <v>3</v>
      </c>
      <c r="G48" s="110"/>
      <c r="H48" s="45"/>
      <c r="I48" s="45"/>
      <c r="J48" s="110">
        <v>10</v>
      </c>
      <c r="K48" s="121">
        <f t="shared" si="5"/>
        <v>30</v>
      </c>
      <c r="L48" s="78"/>
      <c r="M48" s="78"/>
      <c r="N48" s="311"/>
      <c r="O48" s="321">
        <f t="shared" si="4"/>
        <v>0</v>
      </c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</row>
    <row r="49" spans="1:177" s="15" customFormat="1" ht="40.5" customHeight="1" hidden="1">
      <c r="A49" s="93"/>
      <c r="B49" s="94"/>
      <c r="C49" s="90" t="s">
        <v>247</v>
      </c>
      <c r="D49" s="91" t="s">
        <v>9</v>
      </c>
      <c r="E49" s="92">
        <v>2</v>
      </c>
      <c r="F49" s="101" t="str">
        <f>PR2_pozwolenie!F50</f>
        <v>x</v>
      </c>
      <c r="G49" s="110"/>
      <c r="H49" s="45"/>
      <c r="I49" s="45"/>
      <c r="J49" s="110"/>
      <c r="K49" s="121" t="e">
        <f t="shared" si="5"/>
        <v>#VALUE!</v>
      </c>
      <c r="L49" s="78"/>
      <c r="M49" s="78"/>
      <c r="N49" s="311"/>
      <c r="O49" s="321">
        <f t="shared" si="4"/>
        <v>0</v>
      </c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</row>
    <row r="50" spans="1:178" s="15" customFormat="1" ht="18" customHeight="1">
      <c r="A50" s="86">
        <v>13</v>
      </c>
      <c r="B50" s="98" t="s">
        <v>121</v>
      </c>
      <c r="C50" s="99" t="s">
        <v>154</v>
      </c>
      <c r="D50" s="97" t="s">
        <v>9</v>
      </c>
      <c r="E50" s="101" t="s">
        <v>34</v>
      </c>
      <c r="F50" s="101">
        <f>PR2_pozwolenie!F51</f>
        <v>5</v>
      </c>
      <c r="G50" s="110"/>
      <c r="H50" s="45"/>
      <c r="I50" s="45"/>
      <c r="J50" s="110">
        <v>5</v>
      </c>
      <c r="K50" s="121">
        <f t="shared" si="5"/>
        <v>25</v>
      </c>
      <c r="L50" s="78"/>
      <c r="M50" s="78"/>
      <c r="N50" s="311"/>
      <c r="O50" s="321">
        <f t="shared" si="4"/>
        <v>0</v>
      </c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</row>
    <row r="51" spans="1:177" s="15" customFormat="1" ht="32.25" customHeight="1" hidden="1">
      <c r="A51" s="93"/>
      <c r="B51" s="94"/>
      <c r="C51" s="90" t="s">
        <v>248</v>
      </c>
      <c r="D51" s="91" t="s">
        <v>9</v>
      </c>
      <c r="E51" s="92">
        <v>2</v>
      </c>
      <c r="F51" s="101" t="str">
        <f>PR2_pozwolenie!F52</f>
        <v>x</v>
      </c>
      <c r="G51" s="110"/>
      <c r="H51" s="45"/>
      <c r="I51" s="45"/>
      <c r="J51" s="110"/>
      <c r="K51" s="121" t="e">
        <f t="shared" si="5"/>
        <v>#VALUE!</v>
      </c>
      <c r="L51" s="78"/>
      <c r="M51" s="78"/>
      <c r="N51" s="311"/>
      <c r="O51" s="321">
        <f t="shared" si="4"/>
        <v>0</v>
      </c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</row>
    <row r="52" spans="1:177" s="15" customFormat="1" ht="19.5" customHeight="1">
      <c r="A52" s="86">
        <v>14</v>
      </c>
      <c r="B52" s="98" t="s">
        <v>156</v>
      </c>
      <c r="C52" s="99" t="s">
        <v>249</v>
      </c>
      <c r="D52" s="97" t="s">
        <v>202</v>
      </c>
      <c r="E52" s="101" t="s">
        <v>34</v>
      </c>
      <c r="F52" s="101">
        <f>PR2_pozwolenie!F55</f>
        <v>15.8</v>
      </c>
      <c r="G52" s="110"/>
      <c r="H52" s="45"/>
      <c r="I52" s="45"/>
      <c r="J52" s="110">
        <v>9.95</v>
      </c>
      <c r="K52" s="121">
        <f t="shared" si="5"/>
        <v>157.21</v>
      </c>
      <c r="L52" s="78"/>
      <c r="M52" s="127"/>
      <c r="N52" s="311"/>
      <c r="O52" s="321">
        <f t="shared" si="4"/>
        <v>0</v>
      </c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</row>
    <row r="53" spans="1:177" s="15" customFormat="1" ht="57.75" customHeight="1" hidden="1">
      <c r="A53" s="93"/>
      <c r="B53" s="94"/>
      <c r="C53" s="90" t="s">
        <v>299</v>
      </c>
      <c r="D53" s="91" t="s">
        <v>201</v>
      </c>
      <c r="E53" s="92">
        <f>2.19</f>
        <v>2.19</v>
      </c>
      <c r="F53" s="92" t="s">
        <v>34</v>
      </c>
      <c r="G53" s="107"/>
      <c r="H53" s="45"/>
      <c r="I53" s="45"/>
      <c r="J53" s="110"/>
      <c r="K53" s="208"/>
      <c r="L53" s="78"/>
      <c r="M53" s="78"/>
      <c r="N53" s="311"/>
      <c r="O53" s="322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</row>
    <row r="54" spans="1:177" s="15" customFormat="1" ht="25.5" customHeight="1">
      <c r="A54" s="821" t="s">
        <v>436</v>
      </c>
      <c r="B54" s="822"/>
      <c r="C54" s="822"/>
      <c r="D54" s="822"/>
      <c r="E54" s="822"/>
      <c r="F54" s="822"/>
      <c r="G54" s="822"/>
      <c r="H54" s="822"/>
      <c r="I54" s="822"/>
      <c r="J54" s="823"/>
      <c r="K54" s="264">
        <f>K18+K21+K23+K26+K29+K32+K36+K39+K42+K45+K48+K50+K52</f>
        <v>7762.21</v>
      </c>
      <c r="L54" s="78"/>
      <c r="M54" s="78"/>
      <c r="N54" s="311"/>
      <c r="O54" s="264">
        <f>O18+O21+O23+O26+O29+O32+O36+O39+O42+O45+O48+O50+O52</f>
        <v>1649.55</v>
      </c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</row>
    <row r="55" spans="1:141" s="162" customFormat="1" ht="27" customHeight="1">
      <c r="A55" s="28" t="s">
        <v>62</v>
      </c>
      <c r="B55" s="25" t="s">
        <v>122</v>
      </c>
      <c r="C55" s="816" t="s">
        <v>213</v>
      </c>
      <c r="D55" s="816"/>
      <c r="E55" s="816"/>
      <c r="F55" s="816"/>
      <c r="G55" s="816"/>
      <c r="H55" s="816"/>
      <c r="I55" s="816"/>
      <c r="J55" s="816"/>
      <c r="K55" s="817"/>
      <c r="L55" s="128"/>
      <c r="M55" s="128"/>
      <c r="N55" s="312"/>
      <c r="O55" s="323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</row>
    <row r="56" spans="1:141" s="15" customFormat="1" ht="20.25" customHeight="1">
      <c r="A56" s="84" t="s">
        <v>34</v>
      </c>
      <c r="B56" s="85" t="s">
        <v>157</v>
      </c>
      <c r="C56" s="814" t="s">
        <v>162</v>
      </c>
      <c r="D56" s="814"/>
      <c r="E56" s="814"/>
      <c r="F56" s="814"/>
      <c r="G56" s="814"/>
      <c r="H56" s="814"/>
      <c r="I56" s="814"/>
      <c r="J56" s="814"/>
      <c r="K56" s="815"/>
      <c r="L56" s="78"/>
      <c r="M56" s="78"/>
      <c r="N56" s="311"/>
      <c r="O56" s="322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</row>
    <row r="57" spans="1:141" s="15" customFormat="1" ht="27" customHeight="1">
      <c r="A57" s="86">
        <v>15</v>
      </c>
      <c r="B57" s="87" t="s">
        <v>158</v>
      </c>
      <c r="C57" s="108" t="s">
        <v>159</v>
      </c>
      <c r="D57" s="97" t="s">
        <v>202</v>
      </c>
      <c r="E57" s="101" t="s">
        <v>34</v>
      </c>
      <c r="F57" s="101">
        <f>PR2_pozwolenie!F59</f>
        <v>0</v>
      </c>
      <c r="G57" s="107"/>
      <c r="H57" s="45"/>
      <c r="I57" s="45"/>
      <c r="J57" s="110">
        <v>7.3</v>
      </c>
      <c r="K57" s="121">
        <f>J57*F57</f>
        <v>0</v>
      </c>
      <c r="L57" s="78"/>
      <c r="M57" s="78"/>
      <c r="N57" s="311">
        <v>23.2</v>
      </c>
      <c r="O57" s="321">
        <f aca="true" t="shared" si="6" ref="O57:O62">J57*N57</f>
        <v>169.36</v>
      </c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</row>
    <row r="58" spans="1:141" s="15" customFormat="1" ht="40.5" customHeight="1" hidden="1">
      <c r="A58" s="147"/>
      <c r="B58" s="135"/>
      <c r="C58" s="103" t="s">
        <v>314</v>
      </c>
      <c r="D58" s="104" t="s">
        <v>201</v>
      </c>
      <c r="E58" s="105">
        <v>163.7</v>
      </c>
      <c r="F58" s="101" t="str">
        <f>PR2_pozwolenie!F60</f>
        <v>x</v>
      </c>
      <c r="G58" s="107"/>
      <c r="H58" s="45"/>
      <c r="I58" s="45"/>
      <c r="J58" s="110"/>
      <c r="K58" s="121" t="e">
        <f>J58*F58</f>
        <v>#VALUE!</v>
      </c>
      <c r="L58" s="8"/>
      <c r="M58" s="8"/>
      <c r="N58" s="311"/>
      <c r="O58" s="321">
        <f t="shared" si="6"/>
        <v>0</v>
      </c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</row>
    <row r="59" spans="1:141" s="15" customFormat="1" ht="20.25" customHeight="1">
      <c r="A59" s="86">
        <v>16</v>
      </c>
      <c r="B59" s="87" t="s">
        <v>160</v>
      </c>
      <c r="C59" s="108" t="s">
        <v>161</v>
      </c>
      <c r="D59" s="97" t="s">
        <v>202</v>
      </c>
      <c r="E59" s="101" t="s">
        <v>34</v>
      </c>
      <c r="F59" s="101">
        <f>PR2_pozwolenie!F61</f>
        <v>150.1</v>
      </c>
      <c r="G59" s="107"/>
      <c r="H59" s="45"/>
      <c r="I59" s="45"/>
      <c r="J59" s="110">
        <v>8.5</v>
      </c>
      <c r="K59" s="121">
        <f>J59*F59</f>
        <v>1275.85</v>
      </c>
      <c r="L59" s="78"/>
      <c r="M59" s="78"/>
      <c r="N59" s="311">
        <v>1.94</v>
      </c>
      <c r="O59" s="321">
        <f t="shared" si="6"/>
        <v>16.49</v>
      </c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</row>
    <row r="60" spans="1:141" s="15" customFormat="1" ht="65.25" customHeight="1" hidden="1">
      <c r="A60" s="86"/>
      <c r="B60" s="98"/>
      <c r="C60" s="103" t="s">
        <v>315</v>
      </c>
      <c r="D60" s="104" t="s">
        <v>201</v>
      </c>
      <c r="E60" s="105">
        <v>12.05</v>
      </c>
      <c r="F60" s="101" t="s">
        <v>34</v>
      </c>
      <c r="G60" s="107"/>
      <c r="H60" s="45"/>
      <c r="I60" s="45"/>
      <c r="J60" s="110"/>
      <c r="K60" s="208"/>
      <c r="L60" s="78"/>
      <c r="M60" s="78"/>
      <c r="N60" s="311"/>
      <c r="O60" s="321">
        <f t="shared" si="6"/>
        <v>0</v>
      </c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</row>
    <row r="61" spans="1:15" s="14" customFormat="1" ht="18" customHeight="1">
      <c r="A61" s="84" t="s">
        <v>34</v>
      </c>
      <c r="B61" s="85" t="s">
        <v>75</v>
      </c>
      <c r="C61" s="814" t="s">
        <v>76</v>
      </c>
      <c r="D61" s="814"/>
      <c r="E61" s="814"/>
      <c r="F61" s="814"/>
      <c r="G61" s="814"/>
      <c r="H61" s="814"/>
      <c r="I61" s="814"/>
      <c r="J61" s="814"/>
      <c r="K61" s="815"/>
      <c r="N61" s="310"/>
      <c r="O61" s="321">
        <f t="shared" si="6"/>
        <v>0</v>
      </c>
    </row>
    <row r="62" spans="1:15" s="14" customFormat="1" ht="19.5" customHeight="1">
      <c r="A62" s="117">
        <v>17</v>
      </c>
      <c r="B62" s="87" t="s">
        <v>163</v>
      </c>
      <c r="C62" s="136" t="s">
        <v>164</v>
      </c>
      <c r="D62" s="109" t="s">
        <v>202</v>
      </c>
      <c r="E62" s="110" t="s">
        <v>34</v>
      </c>
      <c r="F62" s="110">
        <f>PR2_pozwolenie!F64</f>
        <v>0</v>
      </c>
      <c r="G62" s="133"/>
      <c r="H62" s="43"/>
      <c r="I62" s="43"/>
      <c r="J62" s="110">
        <v>11.5</v>
      </c>
      <c r="K62" s="121">
        <f>J62*F62</f>
        <v>0</v>
      </c>
      <c r="M62" s="157"/>
      <c r="N62" s="310">
        <v>23.2</v>
      </c>
      <c r="O62" s="321">
        <f t="shared" si="6"/>
        <v>266.8</v>
      </c>
    </row>
    <row r="63" spans="1:15" s="14" customFormat="1" ht="26.25" customHeight="1" hidden="1">
      <c r="A63" s="117"/>
      <c r="B63" s="98"/>
      <c r="C63" s="137" t="s">
        <v>316</v>
      </c>
      <c r="D63" s="104" t="s">
        <v>201</v>
      </c>
      <c r="E63" s="105">
        <f>E58</f>
        <v>163.7</v>
      </c>
      <c r="F63" s="105" t="s">
        <v>34</v>
      </c>
      <c r="G63" s="133"/>
      <c r="H63" s="43"/>
      <c r="I63" s="43"/>
      <c r="J63" s="110"/>
      <c r="K63" s="121"/>
      <c r="N63" s="310"/>
      <c r="O63" s="321"/>
    </row>
    <row r="64" spans="1:15" s="14" customFormat="1" ht="26.25" customHeight="1">
      <c r="A64" s="818" t="s">
        <v>437</v>
      </c>
      <c r="B64" s="819"/>
      <c r="C64" s="819"/>
      <c r="D64" s="819"/>
      <c r="E64" s="819"/>
      <c r="F64" s="819"/>
      <c r="G64" s="819"/>
      <c r="H64" s="819"/>
      <c r="I64" s="819"/>
      <c r="J64" s="820"/>
      <c r="K64" s="265">
        <f>K57+K59+K62</f>
        <v>1275.85</v>
      </c>
      <c r="N64" s="310"/>
      <c r="O64" s="265">
        <f>O57+O59+O62</f>
        <v>452.65</v>
      </c>
    </row>
    <row r="65" spans="1:15" s="3" customFormat="1" ht="29.25" customHeight="1">
      <c r="A65" s="28" t="s">
        <v>52</v>
      </c>
      <c r="B65" s="25" t="s">
        <v>123</v>
      </c>
      <c r="C65" s="816" t="s">
        <v>203</v>
      </c>
      <c r="D65" s="816"/>
      <c r="E65" s="816"/>
      <c r="F65" s="816"/>
      <c r="G65" s="816"/>
      <c r="H65" s="816"/>
      <c r="I65" s="816"/>
      <c r="J65" s="816"/>
      <c r="K65" s="817"/>
      <c r="N65" s="313"/>
      <c r="O65" s="324"/>
    </row>
    <row r="66" spans="1:15" s="3" customFormat="1" ht="18" customHeight="1">
      <c r="A66" s="84" t="s">
        <v>34</v>
      </c>
      <c r="B66" s="85" t="s">
        <v>165</v>
      </c>
      <c r="C66" s="814" t="s">
        <v>166</v>
      </c>
      <c r="D66" s="814"/>
      <c r="E66" s="814"/>
      <c r="F66" s="814"/>
      <c r="G66" s="814"/>
      <c r="H66" s="814"/>
      <c r="I66" s="814"/>
      <c r="J66" s="814"/>
      <c r="K66" s="815"/>
      <c r="N66" s="313"/>
      <c r="O66" s="324"/>
    </row>
    <row r="67" spans="1:15" s="3" customFormat="1" ht="19.5" customHeight="1">
      <c r="A67" s="117">
        <v>18</v>
      </c>
      <c r="B67" s="87" t="s">
        <v>167</v>
      </c>
      <c r="C67" s="136" t="s">
        <v>168</v>
      </c>
      <c r="D67" s="109" t="s">
        <v>11</v>
      </c>
      <c r="E67" s="110" t="s">
        <v>34</v>
      </c>
      <c r="F67" s="110">
        <f>PR2_pozwolenie!F70</f>
        <v>2</v>
      </c>
      <c r="G67" s="130"/>
      <c r="H67" s="44"/>
      <c r="I67" s="44"/>
      <c r="J67" s="124">
        <v>150</v>
      </c>
      <c r="K67" s="121">
        <f>J67*F67</f>
        <v>300</v>
      </c>
      <c r="N67" s="313">
        <v>2</v>
      </c>
      <c r="O67" s="321">
        <f>J67*N67</f>
        <v>300</v>
      </c>
    </row>
    <row r="68" spans="1:15" s="3" customFormat="1" ht="69" customHeight="1" hidden="1">
      <c r="A68" s="117"/>
      <c r="B68" s="98"/>
      <c r="C68" s="137" t="s">
        <v>256</v>
      </c>
      <c r="D68" s="104" t="s">
        <v>11</v>
      </c>
      <c r="E68" s="105">
        <f>2</f>
        <v>2</v>
      </c>
      <c r="F68" s="105" t="s">
        <v>34</v>
      </c>
      <c r="G68" s="130"/>
      <c r="H68" s="44"/>
      <c r="I68" s="44"/>
      <c r="J68" s="124"/>
      <c r="K68" s="123"/>
      <c r="N68" s="313"/>
      <c r="O68" s="324"/>
    </row>
    <row r="69" spans="1:15" s="3" customFormat="1" ht="18" customHeight="1" hidden="1">
      <c r="A69" s="93" t="s">
        <v>301</v>
      </c>
      <c r="B69" s="94" t="str">
        <f>B67</f>
        <v>03.01.01.11</v>
      </c>
      <c r="C69" s="90" t="s">
        <v>169</v>
      </c>
      <c r="D69" s="91" t="s">
        <v>34</v>
      </c>
      <c r="E69" s="92" t="s">
        <v>34</v>
      </c>
      <c r="F69" s="92" t="s">
        <v>34</v>
      </c>
      <c r="G69" s="130"/>
      <c r="H69" s="44"/>
      <c r="I69" s="44"/>
      <c r="J69" s="124"/>
      <c r="K69" s="123"/>
      <c r="N69" s="313"/>
      <c r="O69" s="324"/>
    </row>
    <row r="70" spans="1:15" s="3" customFormat="1" ht="17.25" customHeight="1" hidden="1">
      <c r="A70" s="118"/>
      <c r="B70" s="195"/>
      <c r="C70" s="196" t="s">
        <v>254</v>
      </c>
      <c r="D70" s="197" t="s">
        <v>300</v>
      </c>
      <c r="E70" s="198">
        <f>0.66*2</f>
        <v>1.32</v>
      </c>
      <c r="F70" s="198">
        <f>E70</f>
        <v>1.32</v>
      </c>
      <c r="G70" s="130"/>
      <c r="H70" s="44"/>
      <c r="I70" s="44"/>
      <c r="J70" s="124"/>
      <c r="K70" s="123"/>
      <c r="N70" s="313"/>
      <c r="O70" s="324"/>
    </row>
    <row r="71" spans="1:15" s="3" customFormat="1" ht="27" customHeight="1" hidden="1">
      <c r="A71" s="119"/>
      <c r="B71" s="195"/>
      <c r="C71" s="199" t="s">
        <v>253</v>
      </c>
      <c r="D71" s="197" t="s">
        <v>300</v>
      </c>
      <c r="E71" s="198">
        <f>2*0.13</f>
        <v>0.26</v>
      </c>
      <c r="F71" s="198">
        <f>E71</f>
        <v>0.26</v>
      </c>
      <c r="G71" s="130"/>
      <c r="H71" s="44"/>
      <c r="I71" s="44"/>
      <c r="J71" s="124"/>
      <c r="K71" s="123"/>
      <c r="N71" s="313"/>
      <c r="O71" s="324"/>
    </row>
    <row r="72" spans="1:15" s="3" customFormat="1" ht="20.25" customHeight="1" hidden="1">
      <c r="A72" s="119"/>
      <c r="B72" s="195"/>
      <c r="C72" s="196" t="s">
        <v>255</v>
      </c>
      <c r="D72" s="197" t="s">
        <v>300</v>
      </c>
      <c r="E72" s="198">
        <f>0.66</f>
        <v>0.66</v>
      </c>
      <c r="F72" s="198">
        <f>E72</f>
        <v>0.66</v>
      </c>
      <c r="G72" s="130"/>
      <c r="H72" s="44"/>
      <c r="I72" s="44"/>
      <c r="J72" s="124"/>
      <c r="K72" s="123"/>
      <c r="N72" s="313"/>
      <c r="O72" s="324"/>
    </row>
    <row r="73" spans="1:15" s="3" customFormat="1" ht="19.5" customHeight="1">
      <c r="A73" s="84" t="s">
        <v>34</v>
      </c>
      <c r="B73" s="85" t="s">
        <v>170</v>
      </c>
      <c r="C73" s="814" t="s">
        <v>171</v>
      </c>
      <c r="D73" s="814"/>
      <c r="E73" s="814"/>
      <c r="F73" s="814"/>
      <c r="G73" s="814"/>
      <c r="H73" s="814"/>
      <c r="I73" s="814"/>
      <c r="J73" s="814"/>
      <c r="K73" s="815"/>
      <c r="N73" s="313"/>
      <c r="O73" s="324"/>
    </row>
    <row r="74" spans="1:15" s="3" customFormat="1" ht="18" customHeight="1">
      <c r="A74" s="117">
        <v>19</v>
      </c>
      <c r="B74" s="87" t="s">
        <v>172</v>
      </c>
      <c r="C74" s="136" t="s">
        <v>173</v>
      </c>
      <c r="D74" s="109" t="s">
        <v>11</v>
      </c>
      <c r="E74" s="110" t="s">
        <v>34</v>
      </c>
      <c r="F74" s="110">
        <f>PR2_pozwolenie!F77</f>
        <v>9.5</v>
      </c>
      <c r="G74" s="130"/>
      <c r="H74" s="44"/>
      <c r="I74" s="44"/>
      <c r="J74" s="124">
        <v>20.5</v>
      </c>
      <c r="K74" s="121">
        <f>J74*F74</f>
        <v>194.75</v>
      </c>
      <c r="N74" s="313"/>
      <c r="O74" s="321">
        <f>J74*N74</f>
        <v>0</v>
      </c>
    </row>
    <row r="75" spans="1:15" s="3" customFormat="1" ht="30" customHeight="1" hidden="1">
      <c r="A75" s="117"/>
      <c r="B75" s="98"/>
      <c r="C75" s="137" t="s">
        <v>302</v>
      </c>
      <c r="D75" s="104" t="s">
        <v>11</v>
      </c>
      <c r="E75" s="105">
        <v>13.5</v>
      </c>
      <c r="F75" s="105" t="s">
        <v>34</v>
      </c>
      <c r="G75" s="130"/>
      <c r="H75" s="44"/>
      <c r="I75" s="44"/>
      <c r="J75" s="124"/>
      <c r="K75" s="123"/>
      <c r="N75" s="313"/>
      <c r="O75" s="324"/>
    </row>
    <row r="76" spans="1:15" s="3" customFormat="1" ht="18" customHeight="1">
      <c r="A76" s="84" t="s">
        <v>34</v>
      </c>
      <c r="B76" s="85" t="s">
        <v>102</v>
      </c>
      <c r="C76" s="814" t="s">
        <v>103</v>
      </c>
      <c r="D76" s="814"/>
      <c r="E76" s="814"/>
      <c r="F76" s="814"/>
      <c r="G76" s="814"/>
      <c r="H76" s="814"/>
      <c r="I76" s="814"/>
      <c r="J76" s="814"/>
      <c r="K76" s="815"/>
      <c r="N76" s="313"/>
      <c r="O76" s="324"/>
    </row>
    <row r="77" spans="1:15" s="3" customFormat="1" ht="31.5" customHeight="1">
      <c r="A77" s="117">
        <v>20</v>
      </c>
      <c r="B77" s="87" t="s">
        <v>174</v>
      </c>
      <c r="C77" s="136" t="s">
        <v>303</v>
      </c>
      <c r="D77" s="109" t="s">
        <v>11</v>
      </c>
      <c r="E77" s="110" t="s">
        <v>34</v>
      </c>
      <c r="F77" s="110">
        <f>PR2_pozwolenie!F80</f>
        <v>244</v>
      </c>
      <c r="G77" s="130"/>
      <c r="H77" s="44"/>
      <c r="I77" s="44"/>
      <c r="J77" s="124">
        <v>165.2</v>
      </c>
      <c r="K77" s="121">
        <f aca="true" t="shared" si="7" ref="K77:K89">J77*F77</f>
        <v>40308.8</v>
      </c>
      <c r="N77" s="313">
        <v>37</v>
      </c>
      <c r="O77" s="321">
        <f>J77*N77</f>
        <v>6112.4</v>
      </c>
    </row>
    <row r="78" spans="1:15" s="3" customFormat="1" ht="69.75" customHeight="1" hidden="1">
      <c r="A78" s="117"/>
      <c r="B78" s="98"/>
      <c r="C78" s="137" t="s">
        <v>317</v>
      </c>
      <c r="D78" s="104" t="s">
        <v>11</v>
      </c>
      <c r="E78" s="105">
        <f>44+38+44+23+10+37</f>
        <v>196</v>
      </c>
      <c r="F78" s="105" t="s">
        <v>34</v>
      </c>
      <c r="G78" s="130"/>
      <c r="H78" s="44"/>
      <c r="I78" s="44"/>
      <c r="J78" s="124"/>
      <c r="K78" s="121" t="e">
        <f t="shared" si="7"/>
        <v>#VALUE!</v>
      </c>
      <c r="N78" s="313"/>
      <c r="O78" s="324"/>
    </row>
    <row r="79" spans="1:15" s="3" customFormat="1" ht="17.25" customHeight="1" hidden="1">
      <c r="A79" s="93" t="s">
        <v>304</v>
      </c>
      <c r="B79" s="94" t="str">
        <f>B77</f>
        <v>03.02.01.16</v>
      </c>
      <c r="C79" s="90" t="s">
        <v>175</v>
      </c>
      <c r="D79" s="91" t="s">
        <v>34</v>
      </c>
      <c r="E79" s="92" t="s">
        <v>34</v>
      </c>
      <c r="F79" s="92" t="s">
        <v>34</v>
      </c>
      <c r="G79" s="130"/>
      <c r="H79" s="44"/>
      <c r="I79" s="44"/>
      <c r="J79" s="124"/>
      <c r="K79" s="121" t="e">
        <f t="shared" si="7"/>
        <v>#VALUE!</v>
      </c>
      <c r="N79" s="313"/>
      <c r="O79" s="324"/>
    </row>
    <row r="80" spans="1:15" s="3" customFormat="1" ht="26.25" customHeight="1" hidden="1">
      <c r="A80" s="119"/>
      <c r="B80" s="200"/>
      <c r="C80" s="199" t="s">
        <v>259</v>
      </c>
      <c r="D80" s="197" t="s">
        <v>300</v>
      </c>
      <c r="E80" s="198">
        <f>0.18*1</f>
        <v>0.18</v>
      </c>
      <c r="F80" s="198">
        <f>E80</f>
        <v>0.18</v>
      </c>
      <c r="G80" s="130"/>
      <c r="H80" s="44"/>
      <c r="I80" s="44"/>
      <c r="J80" s="124"/>
      <c r="K80" s="121">
        <f t="shared" si="7"/>
        <v>0</v>
      </c>
      <c r="N80" s="313"/>
      <c r="O80" s="324"/>
    </row>
    <row r="81" spans="1:15" s="3" customFormat="1" ht="30.75" customHeight="1" hidden="1">
      <c r="A81" s="119"/>
      <c r="B81" s="200"/>
      <c r="C81" s="196" t="s">
        <v>178</v>
      </c>
      <c r="D81" s="197" t="s">
        <v>300</v>
      </c>
      <c r="E81" s="198">
        <f>1*(1.5*0.85-3.14*0.325*0.325)</f>
        <v>0.94</v>
      </c>
      <c r="F81" s="198">
        <f>E81</f>
        <v>0.94</v>
      </c>
      <c r="G81" s="130"/>
      <c r="H81" s="44"/>
      <c r="I81" s="44"/>
      <c r="J81" s="124"/>
      <c r="K81" s="121">
        <f t="shared" si="7"/>
        <v>0</v>
      </c>
      <c r="N81" s="313"/>
      <c r="O81" s="324"/>
    </row>
    <row r="82" spans="1:15" s="3" customFormat="1" ht="18" customHeight="1" hidden="1">
      <c r="A82" s="93"/>
      <c r="B82" s="94"/>
      <c r="C82" s="201" t="s">
        <v>305</v>
      </c>
      <c r="D82" s="202" t="s">
        <v>11</v>
      </c>
      <c r="E82" s="203">
        <v>1</v>
      </c>
      <c r="F82" s="203">
        <v>1</v>
      </c>
      <c r="G82" s="130"/>
      <c r="H82" s="44"/>
      <c r="I82" s="44"/>
      <c r="J82" s="124"/>
      <c r="K82" s="121">
        <f t="shared" si="7"/>
        <v>0</v>
      </c>
      <c r="N82" s="313"/>
      <c r="O82" s="324"/>
    </row>
    <row r="83" spans="1:15" s="3" customFormat="1" ht="27" customHeight="1">
      <c r="A83" s="117">
        <v>21</v>
      </c>
      <c r="B83" s="87" t="s">
        <v>124</v>
      </c>
      <c r="C83" s="136" t="s">
        <v>306</v>
      </c>
      <c r="D83" s="109" t="s">
        <v>12</v>
      </c>
      <c r="E83" s="110" t="s">
        <v>34</v>
      </c>
      <c r="F83" s="110">
        <f>PR2_pozwolenie!F88</f>
        <v>6</v>
      </c>
      <c r="G83" s="130"/>
      <c r="H83" s="44"/>
      <c r="I83" s="44"/>
      <c r="J83" s="124">
        <v>2700</v>
      </c>
      <c r="K83" s="121">
        <f t="shared" si="7"/>
        <v>16200</v>
      </c>
      <c r="N83" s="313"/>
      <c r="O83" s="324"/>
    </row>
    <row r="84" spans="1:15" s="3" customFormat="1" ht="52.5" customHeight="1" hidden="1">
      <c r="A84" s="117"/>
      <c r="B84" s="98"/>
      <c r="C84" s="137" t="s">
        <v>307</v>
      </c>
      <c r="D84" s="104" t="s">
        <v>12</v>
      </c>
      <c r="E84" s="105">
        <v>4</v>
      </c>
      <c r="F84" s="110" t="str">
        <f>PR2_pozwolenie!F89</f>
        <v>x</v>
      </c>
      <c r="G84" s="130"/>
      <c r="H84" s="44"/>
      <c r="I84" s="44"/>
      <c r="J84" s="124"/>
      <c r="K84" s="121" t="e">
        <f t="shared" si="7"/>
        <v>#VALUE!</v>
      </c>
      <c r="N84" s="313"/>
      <c r="O84" s="324"/>
    </row>
    <row r="85" spans="1:15" s="3" customFormat="1" ht="29.25" customHeight="1">
      <c r="A85" s="117">
        <v>22</v>
      </c>
      <c r="B85" s="87" t="s">
        <v>124</v>
      </c>
      <c r="C85" s="136" t="s">
        <v>308</v>
      </c>
      <c r="D85" s="109" t="s">
        <v>12</v>
      </c>
      <c r="E85" s="110" t="s">
        <v>34</v>
      </c>
      <c r="F85" s="110">
        <f>PR2_pozwolenie!F90</f>
        <v>1</v>
      </c>
      <c r="G85" s="130"/>
      <c r="H85" s="44"/>
      <c r="I85" s="44"/>
      <c r="J85" s="124">
        <v>3200</v>
      </c>
      <c r="K85" s="121">
        <f>J85*F85</f>
        <v>3200</v>
      </c>
      <c r="N85" s="313">
        <v>1</v>
      </c>
      <c r="O85" s="321">
        <f>J85*N85</f>
        <v>3200</v>
      </c>
    </row>
    <row r="86" spans="1:15" s="3" customFormat="1" ht="56.25" customHeight="1" hidden="1">
      <c r="A86" s="117"/>
      <c r="B86" s="98"/>
      <c r="C86" s="137" t="s">
        <v>326</v>
      </c>
      <c r="D86" s="104" t="s">
        <v>12</v>
      </c>
      <c r="E86" s="105">
        <v>1</v>
      </c>
      <c r="F86" s="110" t="str">
        <f>PR2_pozwolenie!F91</f>
        <v>x</v>
      </c>
      <c r="G86" s="130"/>
      <c r="H86" s="44"/>
      <c r="I86" s="44"/>
      <c r="J86" s="124"/>
      <c r="K86" s="121" t="e">
        <f t="shared" si="7"/>
        <v>#VALUE!</v>
      </c>
      <c r="N86" s="313"/>
      <c r="O86" s="324"/>
    </row>
    <row r="87" spans="1:15" s="3" customFormat="1" ht="18.75" customHeight="1">
      <c r="A87" s="117">
        <v>23</v>
      </c>
      <c r="B87" s="87" t="s">
        <v>104</v>
      </c>
      <c r="C87" s="136" t="s">
        <v>176</v>
      </c>
      <c r="D87" s="109" t="s">
        <v>11</v>
      </c>
      <c r="E87" s="110" t="s">
        <v>34</v>
      </c>
      <c r="F87" s="110" t="e">
        <f>PR2_pozwolenie!#REF!</f>
        <v>#REF!</v>
      </c>
      <c r="G87" s="130"/>
      <c r="H87" s="44"/>
      <c r="I87" s="44"/>
      <c r="J87" s="124">
        <v>55.25</v>
      </c>
      <c r="K87" s="121" t="e">
        <f t="shared" si="7"/>
        <v>#REF!</v>
      </c>
      <c r="N87" s="313">
        <v>1.35</v>
      </c>
      <c r="O87" s="321">
        <f>J87*N87</f>
        <v>74.5875</v>
      </c>
    </row>
    <row r="88" spans="1:15" s="3" customFormat="1" ht="54.75" customHeight="1" hidden="1">
      <c r="A88" s="117"/>
      <c r="B88" s="98"/>
      <c r="C88" s="137" t="s">
        <v>313</v>
      </c>
      <c r="D88" s="104" t="s">
        <v>11</v>
      </c>
      <c r="E88" s="105">
        <v>11</v>
      </c>
      <c r="F88" s="110" t="e">
        <f>PR2_pozwolenie!#REF!</f>
        <v>#REF!</v>
      </c>
      <c r="G88" s="130"/>
      <c r="H88" s="44"/>
      <c r="I88" s="44"/>
      <c r="J88" s="124"/>
      <c r="K88" s="121" t="e">
        <f t="shared" si="7"/>
        <v>#REF!</v>
      </c>
      <c r="N88" s="313"/>
      <c r="O88" s="324"/>
    </row>
    <row r="89" spans="1:15" s="3" customFormat="1" ht="18" customHeight="1">
      <c r="A89" s="117">
        <v>24</v>
      </c>
      <c r="B89" s="87" t="s">
        <v>177</v>
      </c>
      <c r="C89" s="136" t="s">
        <v>309</v>
      </c>
      <c r="D89" s="109" t="s">
        <v>12</v>
      </c>
      <c r="E89" s="110" t="s">
        <v>34</v>
      </c>
      <c r="F89" s="110">
        <f>PR2_pozwolenie!F92</f>
        <v>4</v>
      </c>
      <c r="G89" s="130"/>
      <c r="H89" s="44"/>
      <c r="I89" s="44"/>
      <c r="J89" s="124">
        <v>1200</v>
      </c>
      <c r="K89" s="121">
        <f t="shared" si="7"/>
        <v>4800</v>
      </c>
      <c r="M89" s="158"/>
      <c r="N89" s="313">
        <v>1</v>
      </c>
      <c r="O89" s="321">
        <f>J89*N89</f>
        <v>1200</v>
      </c>
    </row>
    <row r="90" spans="1:15" s="3" customFormat="1" ht="54.75" customHeight="1" hidden="1">
      <c r="A90" s="117"/>
      <c r="B90" s="98"/>
      <c r="C90" s="137" t="s">
        <v>260</v>
      </c>
      <c r="D90" s="104" t="s">
        <v>12</v>
      </c>
      <c r="E90" s="105">
        <v>4</v>
      </c>
      <c r="F90" s="105" t="s">
        <v>34</v>
      </c>
      <c r="G90" s="130"/>
      <c r="H90" s="44"/>
      <c r="I90" s="44"/>
      <c r="J90" s="124"/>
      <c r="K90" s="123"/>
      <c r="N90" s="313"/>
      <c r="O90" s="324"/>
    </row>
    <row r="91" spans="1:15" s="3" customFormat="1" ht="25.5" customHeight="1">
      <c r="A91" s="818" t="s">
        <v>438</v>
      </c>
      <c r="B91" s="819"/>
      <c r="C91" s="819"/>
      <c r="D91" s="819"/>
      <c r="E91" s="819"/>
      <c r="F91" s="819"/>
      <c r="G91" s="819"/>
      <c r="H91" s="819"/>
      <c r="I91" s="819"/>
      <c r="J91" s="820"/>
      <c r="K91" s="266" t="e">
        <f>K67+K74+K77+K83+K85+K87+K89</f>
        <v>#REF!</v>
      </c>
      <c r="N91" s="313"/>
      <c r="O91" s="266">
        <f>O67+O74+O77+O83+O85+O87+O89</f>
        <v>10886.99</v>
      </c>
    </row>
    <row r="92" spans="1:15" s="3" customFormat="1" ht="27" customHeight="1">
      <c r="A92" s="28" t="s">
        <v>53</v>
      </c>
      <c r="B92" s="25" t="s">
        <v>61</v>
      </c>
      <c r="C92" s="795" t="s">
        <v>204</v>
      </c>
      <c r="D92" s="796"/>
      <c r="E92" s="796"/>
      <c r="F92" s="796"/>
      <c r="G92" s="796"/>
      <c r="H92" s="796"/>
      <c r="I92" s="796"/>
      <c r="J92" s="796"/>
      <c r="K92" s="797"/>
      <c r="N92" s="313"/>
      <c r="O92" s="324"/>
    </row>
    <row r="93" spans="1:15" s="1" customFormat="1" ht="18" customHeight="1">
      <c r="A93" s="84" t="s">
        <v>34</v>
      </c>
      <c r="B93" s="85" t="s">
        <v>107</v>
      </c>
      <c r="C93" s="814" t="s">
        <v>108</v>
      </c>
      <c r="D93" s="814"/>
      <c r="E93" s="814"/>
      <c r="F93" s="814"/>
      <c r="G93" s="814"/>
      <c r="H93" s="814"/>
      <c r="I93" s="814"/>
      <c r="J93" s="814"/>
      <c r="K93" s="815"/>
      <c r="N93" s="308"/>
      <c r="O93" s="319"/>
    </row>
    <row r="94" spans="1:15" s="1" customFormat="1" ht="27.75" customHeight="1">
      <c r="A94" s="119">
        <v>25</v>
      </c>
      <c r="B94" s="112" t="s">
        <v>261</v>
      </c>
      <c r="C94" s="139" t="s">
        <v>262</v>
      </c>
      <c r="D94" s="109" t="s">
        <v>199</v>
      </c>
      <c r="E94" s="110" t="s">
        <v>34</v>
      </c>
      <c r="F94" s="110">
        <f>PR2_pozwolenie!F98</f>
        <v>20.5</v>
      </c>
      <c r="G94" s="133"/>
      <c r="H94" s="132"/>
      <c r="I94" s="132"/>
      <c r="J94" s="124">
        <v>5.5</v>
      </c>
      <c r="K94" s="121">
        <f>J94*F94</f>
        <v>112.75</v>
      </c>
      <c r="N94" s="308">
        <v>22.99</v>
      </c>
      <c r="O94" s="321">
        <f>J94*N94</f>
        <v>126.445</v>
      </c>
    </row>
    <row r="95" spans="1:15" s="1" customFormat="1" ht="66.75" customHeight="1" hidden="1">
      <c r="A95" s="119"/>
      <c r="B95" s="112"/>
      <c r="C95" s="138" t="s">
        <v>318</v>
      </c>
      <c r="D95" s="111" t="s">
        <v>200</v>
      </c>
      <c r="E95" s="107">
        <v>247.85</v>
      </c>
      <c r="F95" s="107" t="s">
        <v>34</v>
      </c>
      <c r="G95" s="133"/>
      <c r="H95" s="132"/>
      <c r="I95" s="132"/>
      <c r="J95" s="124"/>
      <c r="K95" s="123"/>
      <c r="N95" s="308"/>
      <c r="O95" s="319"/>
    </row>
    <row r="96" spans="1:15" s="1" customFormat="1" ht="18.75" customHeight="1">
      <c r="A96" s="84" t="s">
        <v>34</v>
      </c>
      <c r="B96" s="85" t="s">
        <v>125</v>
      </c>
      <c r="C96" s="814" t="s">
        <v>126</v>
      </c>
      <c r="D96" s="814"/>
      <c r="E96" s="814"/>
      <c r="F96" s="814"/>
      <c r="G96" s="814"/>
      <c r="H96" s="814"/>
      <c r="I96" s="814"/>
      <c r="J96" s="814"/>
      <c r="K96" s="815"/>
      <c r="N96" s="308"/>
      <c r="O96" s="319"/>
    </row>
    <row r="97" spans="1:15" s="1" customFormat="1" ht="21" customHeight="1">
      <c r="A97" s="119">
        <v>26</v>
      </c>
      <c r="B97" s="112" t="s">
        <v>179</v>
      </c>
      <c r="C97" s="139" t="s">
        <v>180</v>
      </c>
      <c r="D97" s="109" t="s">
        <v>199</v>
      </c>
      <c r="E97" s="110" t="s">
        <v>34</v>
      </c>
      <c r="F97" s="110">
        <f>PR2_pozwolenie!F101</f>
        <v>20.5</v>
      </c>
      <c r="G97" s="133"/>
      <c r="H97" s="132"/>
      <c r="I97" s="132"/>
      <c r="J97" s="124">
        <v>6.35</v>
      </c>
      <c r="K97" s="121">
        <f>J97*F97</f>
        <v>130.18</v>
      </c>
      <c r="N97" s="308">
        <v>76.09</v>
      </c>
      <c r="O97" s="321">
        <f>J97*N97</f>
        <v>483.1715</v>
      </c>
    </row>
    <row r="98" spans="1:15" s="1" customFormat="1" ht="57.75" customHeight="1" hidden="1">
      <c r="A98" s="119"/>
      <c r="B98" s="112"/>
      <c r="C98" s="138" t="s">
        <v>319</v>
      </c>
      <c r="D98" s="111" t="s">
        <v>200</v>
      </c>
      <c r="E98" s="107">
        <v>364.73</v>
      </c>
      <c r="F98" s="107" t="s">
        <v>34</v>
      </c>
      <c r="G98" s="133"/>
      <c r="H98" s="132"/>
      <c r="I98" s="132"/>
      <c r="J98" s="124"/>
      <c r="K98" s="123"/>
      <c r="N98" s="308"/>
      <c r="O98" s="319"/>
    </row>
    <row r="99" spans="1:15" s="1" customFormat="1" ht="19.5" customHeight="1">
      <c r="A99" s="84" t="s">
        <v>34</v>
      </c>
      <c r="B99" s="85" t="s">
        <v>17</v>
      </c>
      <c r="C99" s="814" t="s">
        <v>18</v>
      </c>
      <c r="D99" s="814"/>
      <c r="E99" s="814"/>
      <c r="F99" s="814"/>
      <c r="G99" s="814"/>
      <c r="H99" s="814"/>
      <c r="I99" s="814"/>
      <c r="J99" s="814"/>
      <c r="K99" s="815"/>
      <c r="N99" s="308"/>
      <c r="O99" s="319"/>
    </row>
    <row r="100" spans="1:15" s="1" customFormat="1" ht="19.5" customHeight="1">
      <c r="A100" s="119">
        <v>27</v>
      </c>
      <c r="B100" s="113" t="s">
        <v>181</v>
      </c>
      <c r="C100" s="139" t="s">
        <v>182</v>
      </c>
      <c r="D100" s="109" t="s">
        <v>199</v>
      </c>
      <c r="E100" s="110" t="s">
        <v>34</v>
      </c>
      <c r="F100" s="110">
        <f>PR2_pozwolenie!F104</f>
        <v>424.62</v>
      </c>
      <c r="G100" s="133"/>
      <c r="H100" s="132"/>
      <c r="I100" s="132"/>
      <c r="J100" s="124">
        <v>2.22</v>
      </c>
      <c r="K100" s="121">
        <f aca="true" t="shared" si="8" ref="K100:K106">J100*F100</f>
        <v>942.66</v>
      </c>
      <c r="N100" s="308">
        <v>49.3</v>
      </c>
      <c r="O100" s="321">
        <f>J100*N100</f>
        <v>109.446</v>
      </c>
    </row>
    <row r="101" spans="1:15" s="1" customFormat="1" ht="105.75" customHeight="1" hidden="1">
      <c r="A101" s="118"/>
      <c r="B101" s="114"/>
      <c r="C101" s="138" t="s">
        <v>320</v>
      </c>
      <c r="D101" s="111" t="s">
        <v>200</v>
      </c>
      <c r="E101" s="107">
        <v>204.62</v>
      </c>
      <c r="F101" s="110" t="str">
        <f>PR2_pozwolenie!F105</f>
        <v>x</v>
      </c>
      <c r="G101" s="133"/>
      <c r="H101" s="132"/>
      <c r="I101" s="132"/>
      <c r="J101" s="124"/>
      <c r="K101" s="121" t="e">
        <f t="shared" si="8"/>
        <v>#VALUE!</v>
      </c>
      <c r="N101" s="308"/>
      <c r="O101" s="319"/>
    </row>
    <row r="102" spans="1:15" s="8" customFormat="1" ht="18.75" customHeight="1">
      <c r="A102" s="119">
        <v>28</v>
      </c>
      <c r="B102" s="113" t="s">
        <v>183</v>
      </c>
      <c r="C102" s="139" t="s">
        <v>127</v>
      </c>
      <c r="D102" s="109" t="s">
        <v>199</v>
      </c>
      <c r="E102" s="110" t="s">
        <v>34</v>
      </c>
      <c r="F102" s="110">
        <f>PR2_pozwolenie!F106</f>
        <v>203.2</v>
      </c>
      <c r="G102" s="140"/>
      <c r="H102" s="801"/>
      <c r="I102" s="801"/>
      <c r="J102" s="124">
        <v>2.15</v>
      </c>
      <c r="K102" s="121">
        <f t="shared" si="8"/>
        <v>436.88</v>
      </c>
      <c r="N102" s="311">
        <v>79.32</v>
      </c>
      <c r="O102" s="321">
        <f aca="true" t="shared" si="9" ref="O102:O121">J102*N102</f>
        <v>170.538</v>
      </c>
    </row>
    <row r="103" spans="1:15" s="11" customFormat="1" ht="105.75" customHeight="1" hidden="1">
      <c r="A103" s="118"/>
      <c r="B103" s="114"/>
      <c r="C103" s="138" t="s">
        <v>321</v>
      </c>
      <c r="D103" s="111" t="s">
        <v>200</v>
      </c>
      <c r="E103" s="107">
        <v>204.62</v>
      </c>
      <c r="F103" s="110" t="str">
        <f>PR2_pozwolenie!F107</f>
        <v>x</v>
      </c>
      <c r="G103" s="141"/>
      <c r="H103" s="43">
        <v>1.26</v>
      </c>
      <c r="I103" s="43">
        <f>H103*F102</f>
        <v>256.03</v>
      </c>
      <c r="J103" s="124"/>
      <c r="K103" s="121" t="e">
        <f t="shared" si="8"/>
        <v>#VALUE!</v>
      </c>
      <c r="N103" s="314"/>
      <c r="O103" s="321">
        <f t="shared" si="9"/>
        <v>0</v>
      </c>
    </row>
    <row r="104" spans="1:15" s="11" customFormat="1" ht="18.75" customHeight="1">
      <c r="A104" s="119">
        <v>29</v>
      </c>
      <c r="B104" s="112" t="s">
        <v>184</v>
      </c>
      <c r="C104" s="139" t="s">
        <v>185</v>
      </c>
      <c r="D104" s="109" t="s">
        <v>199</v>
      </c>
      <c r="E104" s="110" t="s">
        <v>34</v>
      </c>
      <c r="F104" s="110">
        <f>PR2_pozwolenie!F108</f>
        <v>424.62</v>
      </c>
      <c r="G104" s="141"/>
      <c r="H104" s="43"/>
      <c r="I104" s="43"/>
      <c r="J104" s="124">
        <v>1.74</v>
      </c>
      <c r="K104" s="121">
        <f t="shared" si="8"/>
        <v>738.84</v>
      </c>
      <c r="N104" s="314">
        <v>49.3</v>
      </c>
      <c r="O104" s="321">
        <f t="shared" si="9"/>
        <v>85.782</v>
      </c>
    </row>
    <row r="105" spans="1:15" s="11" customFormat="1" ht="120.75" customHeight="1" hidden="1">
      <c r="A105" s="119"/>
      <c r="B105" s="114"/>
      <c r="C105" s="186" t="s">
        <v>322</v>
      </c>
      <c r="D105" s="111" t="s">
        <v>200</v>
      </c>
      <c r="E105" s="107">
        <v>204.62</v>
      </c>
      <c r="F105" s="110" t="str">
        <f>PR2_pozwolenie!F109</f>
        <v>x</v>
      </c>
      <c r="G105" s="141"/>
      <c r="H105" s="43"/>
      <c r="I105" s="43"/>
      <c r="J105" s="124"/>
      <c r="K105" s="121" t="e">
        <f t="shared" si="8"/>
        <v>#VALUE!</v>
      </c>
      <c r="N105" s="314"/>
      <c r="O105" s="321">
        <f t="shared" si="9"/>
        <v>0</v>
      </c>
    </row>
    <row r="106" spans="1:15" s="8" customFormat="1" ht="17.25" customHeight="1">
      <c r="A106" s="119">
        <v>30</v>
      </c>
      <c r="B106" s="112" t="s">
        <v>78</v>
      </c>
      <c r="C106" s="139" t="s">
        <v>77</v>
      </c>
      <c r="D106" s="109" t="s">
        <v>199</v>
      </c>
      <c r="E106" s="110" t="s">
        <v>34</v>
      </c>
      <c r="F106" s="110">
        <f>PR2_pozwolenie!F110</f>
        <v>203.2</v>
      </c>
      <c r="G106" s="134"/>
      <c r="H106" s="45"/>
      <c r="I106" s="45"/>
      <c r="J106" s="124">
        <v>1.91</v>
      </c>
      <c r="K106" s="121">
        <f t="shared" si="8"/>
        <v>388.11</v>
      </c>
      <c r="N106" s="311">
        <v>79.32</v>
      </c>
      <c r="O106" s="321">
        <f t="shared" si="9"/>
        <v>151.5012</v>
      </c>
    </row>
    <row r="107" spans="1:15" s="8" customFormat="1" ht="114" customHeight="1" hidden="1">
      <c r="A107" s="119"/>
      <c r="B107" s="114"/>
      <c r="C107" s="138" t="s">
        <v>323</v>
      </c>
      <c r="D107" s="111" t="s">
        <v>200</v>
      </c>
      <c r="E107" s="107">
        <v>204.62</v>
      </c>
      <c r="F107" s="110" t="s">
        <v>34</v>
      </c>
      <c r="G107" s="134"/>
      <c r="H107" s="45"/>
      <c r="I107" s="45"/>
      <c r="J107" s="124"/>
      <c r="K107" s="122"/>
      <c r="N107" s="311"/>
      <c r="O107" s="321">
        <f t="shared" si="9"/>
        <v>0</v>
      </c>
    </row>
    <row r="108" spans="1:15" s="8" customFormat="1" ht="18" customHeight="1">
      <c r="A108" s="84" t="s">
        <v>34</v>
      </c>
      <c r="B108" s="85" t="s">
        <v>19</v>
      </c>
      <c r="C108" s="814" t="s">
        <v>20</v>
      </c>
      <c r="D108" s="814"/>
      <c r="E108" s="814"/>
      <c r="F108" s="814"/>
      <c r="G108" s="814"/>
      <c r="H108" s="814"/>
      <c r="I108" s="814"/>
      <c r="J108" s="814"/>
      <c r="K108" s="815"/>
      <c r="N108" s="311"/>
      <c r="O108" s="321">
        <f t="shared" si="9"/>
        <v>0</v>
      </c>
    </row>
    <row r="109" spans="1:15" s="8" customFormat="1" ht="29.25" customHeight="1">
      <c r="A109" s="119">
        <v>31</v>
      </c>
      <c r="B109" s="113" t="s">
        <v>186</v>
      </c>
      <c r="C109" s="142" t="s">
        <v>187</v>
      </c>
      <c r="D109" s="109" t="s">
        <v>199</v>
      </c>
      <c r="E109" s="110" t="s">
        <v>34</v>
      </c>
      <c r="F109" s="110">
        <f>PR2_pozwolenie!F115</f>
        <v>203.2</v>
      </c>
      <c r="G109" s="140"/>
      <c r="H109" s="801"/>
      <c r="I109" s="801"/>
      <c r="J109" s="110">
        <v>16.8</v>
      </c>
      <c r="K109" s="121">
        <f>J109*F109</f>
        <v>3413.76</v>
      </c>
      <c r="N109" s="311">
        <v>74.53</v>
      </c>
      <c r="O109" s="321">
        <f t="shared" si="9"/>
        <v>1252.104</v>
      </c>
    </row>
    <row r="110" spans="1:15" s="8" customFormat="1" ht="70.5" customHeight="1" hidden="1">
      <c r="A110" s="119"/>
      <c r="B110" s="114"/>
      <c r="C110" s="138" t="s">
        <v>324</v>
      </c>
      <c r="D110" s="111" t="s">
        <v>200</v>
      </c>
      <c r="E110" s="107">
        <v>338.55</v>
      </c>
      <c r="F110" s="110" t="str">
        <f>PR2_pozwolenie!F116</f>
        <v>x</v>
      </c>
      <c r="G110" s="140"/>
      <c r="H110" s="187"/>
      <c r="I110" s="187"/>
      <c r="J110" s="110"/>
      <c r="K110" s="121" t="e">
        <f>J110*F110</f>
        <v>#VALUE!</v>
      </c>
      <c r="L110" s="8">
        <v>40</v>
      </c>
      <c r="M110" s="8">
        <f>97*1.7+4.3*1.7+29*1.7+18.2*1.7+4*1.7+12*1.7</f>
        <v>279.65</v>
      </c>
      <c r="N110" s="311"/>
      <c r="O110" s="321">
        <f t="shared" si="9"/>
        <v>0</v>
      </c>
    </row>
    <row r="111" spans="1:15" s="8" customFormat="1" ht="27.75" customHeight="1">
      <c r="A111" s="119">
        <v>32</v>
      </c>
      <c r="B111" s="113" t="s">
        <v>263</v>
      </c>
      <c r="C111" s="142" t="s">
        <v>264</v>
      </c>
      <c r="D111" s="109" t="s">
        <v>199</v>
      </c>
      <c r="E111" s="110" t="s">
        <v>34</v>
      </c>
      <c r="F111" s="110" t="e">
        <f>PR2_pozwolenie!#REF!</f>
        <v>#REF!</v>
      </c>
      <c r="G111" s="140"/>
      <c r="H111" s="187"/>
      <c r="I111" s="187"/>
      <c r="J111" s="110">
        <v>23.5</v>
      </c>
      <c r="K111" s="121" t="e">
        <f>J111*F111</f>
        <v>#REF!</v>
      </c>
      <c r="N111" s="311">
        <v>26.68</v>
      </c>
      <c r="O111" s="321">
        <f t="shared" si="9"/>
        <v>626.98</v>
      </c>
    </row>
    <row r="112" spans="1:15" s="8" customFormat="1" ht="45.75" customHeight="1" hidden="1">
      <c r="A112" s="119"/>
      <c r="B112" s="114"/>
      <c r="C112" s="138" t="s">
        <v>325</v>
      </c>
      <c r="D112" s="111" t="s">
        <v>200</v>
      </c>
      <c r="E112" s="107">
        <v>160.2</v>
      </c>
      <c r="F112" s="110" t="s">
        <v>34</v>
      </c>
      <c r="G112" s="134"/>
      <c r="H112" s="43">
        <v>42.31</v>
      </c>
      <c r="I112" s="43" t="e">
        <f>H112*F111</f>
        <v>#REF!</v>
      </c>
      <c r="J112" s="110"/>
      <c r="K112" s="122">
        <f>158*0.9+40*0.45</f>
        <v>160.2</v>
      </c>
      <c r="N112" s="311"/>
      <c r="O112" s="321">
        <f t="shared" si="9"/>
        <v>0</v>
      </c>
    </row>
    <row r="113" spans="1:15" s="8" customFormat="1" ht="18" customHeight="1">
      <c r="A113" s="84" t="s">
        <v>34</v>
      </c>
      <c r="B113" s="85" t="s">
        <v>188</v>
      </c>
      <c r="C113" s="814" t="s">
        <v>265</v>
      </c>
      <c r="D113" s="814"/>
      <c r="E113" s="814"/>
      <c r="F113" s="814"/>
      <c r="G113" s="814"/>
      <c r="H113" s="814"/>
      <c r="I113" s="814"/>
      <c r="J113" s="814"/>
      <c r="K113" s="815"/>
      <c r="N113" s="311"/>
      <c r="O113" s="321">
        <f t="shared" si="9"/>
        <v>0</v>
      </c>
    </row>
    <row r="114" spans="1:15" s="8" customFormat="1" ht="16.5" customHeight="1">
      <c r="A114" s="119">
        <v>33</v>
      </c>
      <c r="B114" s="113" t="s">
        <v>267</v>
      </c>
      <c r="C114" s="142" t="s">
        <v>266</v>
      </c>
      <c r="D114" s="109" t="s">
        <v>199</v>
      </c>
      <c r="E114" s="110" t="s">
        <v>34</v>
      </c>
      <c r="F114" s="110">
        <f>PR2_pozwolenie!F120</f>
        <v>489.64</v>
      </c>
      <c r="G114" s="134"/>
      <c r="H114" s="43"/>
      <c r="I114" s="43"/>
      <c r="J114" s="110">
        <v>19.6</v>
      </c>
      <c r="K114" s="121">
        <f>J114*F114</f>
        <v>9596.94</v>
      </c>
      <c r="N114" s="311">
        <v>47.88</v>
      </c>
      <c r="O114" s="321">
        <f t="shared" si="9"/>
        <v>938.448</v>
      </c>
    </row>
    <row r="115" spans="1:15" s="8" customFormat="1" ht="41.25" customHeight="1" hidden="1">
      <c r="A115" s="119"/>
      <c r="B115" s="114"/>
      <c r="C115" s="138" t="s">
        <v>327</v>
      </c>
      <c r="D115" s="111" t="s">
        <v>200</v>
      </c>
      <c r="E115" s="107">
        <v>284.94</v>
      </c>
      <c r="F115" s="110" t="s">
        <v>34</v>
      </c>
      <c r="G115" s="134"/>
      <c r="H115" s="43"/>
      <c r="I115" s="43"/>
      <c r="J115" s="110"/>
      <c r="K115" s="122">
        <f>158*1.53+40*1.08</f>
        <v>284.94</v>
      </c>
      <c r="N115" s="311"/>
      <c r="O115" s="321">
        <f t="shared" si="9"/>
        <v>0</v>
      </c>
    </row>
    <row r="116" spans="1:15" s="8" customFormat="1" ht="18" customHeight="1">
      <c r="A116" s="84" t="s">
        <v>34</v>
      </c>
      <c r="B116" s="85" t="s">
        <v>129</v>
      </c>
      <c r="C116" s="814" t="s">
        <v>141</v>
      </c>
      <c r="D116" s="814"/>
      <c r="E116" s="814"/>
      <c r="F116" s="814"/>
      <c r="G116" s="814"/>
      <c r="H116" s="814"/>
      <c r="I116" s="814"/>
      <c r="J116" s="814"/>
      <c r="K116" s="815"/>
      <c r="N116" s="311"/>
      <c r="O116" s="321">
        <f t="shared" si="9"/>
        <v>0</v>
      </c>
    </row>
    <row r="117" spans="1:15" s="8" customFormat="1" ht="18" customHeight="1">
      <c r="A117" s="119">
        <v>34</v>
      </c>
      <c r="B117" s="113" t="s">
        <v>212</v>
      </c>
      <c r="C117" s="142" t="s">
        <v>189</v>
      </c>
      <c r="D117" s="109" t="s">
        <v>199</v>
      </c>
      <c r="E117" s="110" t="s">
        <v>34</v>
      </c>
      <c r="F117" s="110" t="e">
        <f>PR2_pozwolenie!#REF!</f>
        <v>#REF!</v>
      </c>
      <c r="G117" s="134"/>
      <c r="H117" s="43"/>
      <c r="I117" s="43"/>
      <c r="J117" s="110">
        <v>24</v>
      </c>
      <c r="K117" s="121" t="e">
        <f>J117*F117</f>
        <v>#REF!</v>
      </c>
      <c r="N117" s="311"/>
      <c r="O117" s="321">
        <f t="shared" si="9"/>
        <v>0</v>
      </c>
    </row>
    <row r="118" spans="1:15" s="8" customFormat="1" ht="57.75" customHeight="1" hidden="1">
      <c r="A118" s="119"/>
      <c r="B118" s="114"/>
      <c r="C118" s="138" t="s">
        <v>328</v>
      </c>
      <c r="D118" s="111" t="s">
        <v>200</v>
      </c>
      <c r="E118" s="107">
        <v>8.04</v>
      </c>
      <c r="F118" s="110" t="s">
        <v>34</v>
      </c>
      <c r="G118" s="134"/>
      <c r="H118" s="43"/>
      <c r="I118" s="43"/>
      <c r="J118" s="110"/>
      <c r="K118" s="122"/>
      <c r="N118" s="311"/>
      <c r="O118" s="321">
        <f t="shared" si="9"/>
        <v>0</v>
      </c>
    </row>
    <row r="119" spans="1:15" s="8" customFormat="1" ht="18" customHeight="1">
      <c r="A119" s="84" t="s">
        <v>34</v>
      </c>
      <c r="B119" s="85" t="s">
        <v>268</v>
      </c>
      <c r="C119" s="814" t="s">
        <v>269</v>
      </c>
      <c r="D119" s="814"/>
      <c r="E119" s="814"/>
      <c r="F119" s="814"/>
      <c r="G119" s="814"/>
      <c r="H119" s="814"/>
      <c r="I119" s="814"/>
      <c r="J119" s="814"/>
      <c r="K119" s="815"/>
      <c r="N119" s="311"/>
      <c r="O119" s="321">
        <f t="shared" si="9"/>
        <v>0</v>
      </c>
    </row>
    <row r="120" spans="1:15" s="8" customFormat="1" ht="18.75" customHeight="1">
      <c r="A120" s="119">
        <v>35</v>
      </c>
      <c r="B120" s="113" t="s">
        <v>288</v>
      </c>
      <c r="C120" s="142" t="s">
        <v>270</v>
      </c>
      <c r="D120" s="109" t="s">
        <v>199</v>
      </c>
      <c r="E120" s="110" t="s">
        <v>34</v>
      </c>
      <c r="F120" s="110" t="e">
        <f>PR2_pozwolenie!#REF!</f>
        <v>#REF!</v>
      </c>
      <c r="G120" s="134"/>
      <c r="H120" s="43"/>
      <c r="I120" s="43"/>
      <c r="J120" s="110">
        <v>59.17</v>
      </c>
      <c r="K120" s="121" t="e">
        <f>J120*F120</f>
        <v>#REF!</v>
      </c>
      <c r="M120" s="125"/>
      <c r="N120" s="311">
        <v>18.94</v>
      </c>
      <c r="O120" s="321">
        <f t="shared" si="9"/>
        <v>1120.6798</v>
      </c>
    </row>
    <row r="121" spans="1:15" s="8" customFormat="1" ht="43.5" customHeight="1" hidden="1">
      <c r="A121" s="119"/>
      <c r="B121" s="114"/>
      <c r="C121" s="138" t="s">
        <v>329</v>
      </c>
      <c r="D121" s="111" t="s">
        <v>200</v>
      </c>
      <c r="E121" s="107">
        <v>141.21</v>
      </c>
      <c r="F121" s="110" t="s">
        <v>34</v>
      </c>
      <c r="G121" s="134"/>
      <c r="H121" s="43"/>
      <c r="I121" s="43"/>
      <c r="J121" s="110"/>
      <c r="K121" s="122"/>
      <c r="N121" s="311"/>
      <c r="O121" s="321">
        <f t="shared" si="9"/>
        <v>0</v>
      </c>
    </row>
    <row r="122" spans="1:15" s="8" customFormat="1" ht="24" customHeight="1">
      <c r="A122" s="805" t="s">
        <v>439</v>
      </c>
      <c r="B122" s="806"/>
      <c r="C122" s="806"/>
      <c r="D122" s="806"/>
      <c r="E122" s="806"/>
      <c r="F122" s="806"/>
      <c r="G122" s="806"/>
      <c r="H122" s="806"/>
      <c r="I122" s="806"/>
      <c r="J122" s="807"/>
      <c r="K122" s="267" t="e">
        <f>K94+K97+K100+K102+K104+K106++K109+K111+K114+K117+K120</f>
        <v>#REF!</v>
      </c>
      <c r="N122" s="311"/>
      <c r="O122" s="267">
        <f>O94+O97+O100+O102+O104+O106++O109+O111+O114+O117+O120</f>
        <v>5065.1</v>
      </c>
    </row>
    <row r="123" spans="1:15" s="8" customFormat="1" ht="27.75" customHeight="1">
      <c r="A123" s="28" t="s">
        <v>65</v>
      </c>
      <c r="B123" s="25" t="s">
        <v>63</v>
      </c>
      <c r="C123" s="816" t="s">
        <v>205</v>
      </c>
      <c r="D123" s="816"/>
      <c r="E123" s="816"/>
      <c r="F123" s="816"/>
      <c r="G123" s="816"/>
      <c r="H123" s="816"/>
      <c r="I123" s="816"/>
      <c r="J123" s="816"/>
      <c r="K123" s="817"/>
      <c r="N123" s="311"/>
      <c r="O123" s="322"/>
    </row>
    <row r="124" spans="1:15" s="8" customFormat="1" ht="18" customHeight="1">
      <c r="A124" s="84" t="s">
        <v>34</v>
      </c>
      <c r="B124" s="85" t="s">
        <v>128</v>
      </c>
      <c r="C124" s="814" t="s">
        <v>142</v>
      </c>
      <c r="D124" s="814"/>
      <c r="E124" s="814"/>
      <c r="F124" s="814"/>
      <c r="G124" s="814"/>
      <c r="H124" s="814"/>
      <c r="I124" s="814"/>
      <c r="J124" s="814"/>
      <c r="K124" s="815"/>
      <c r="N124" s="311"/>
      <c r="O124" s="322"/>
    </row>
    <row r="125" spans="1:15" s="8" customFormat="1" ht="20.25" customHeight="1">
      <c r="A125" s="119">
        <v>36</v>
      </c>
      <c r="B125" s="112" t="s">
        <v>272</v>
      </c>
      <c r="C125" s="139" t="s">
        <v>271</v>
      </c>
      <c r="D125" s="109" t="s">
        <v>199</v>
      </c>
      <c r="E125" s="110" t="s">
        <v>34</v>
      </c>
      <c r="F125" s="100">
        <f>PR2_pozwolenie!F124</f>
        <v>42.07</v>
      </c>
      <c r="G125" s="134"/>
      <c r="H125" s="45"/>
      <c r="I125" s="45"/>
      <c r="J125" s="110">
        <v>11.2</v>
      </c>
      <c r="K125" s="121">
        <f>J125*F125</f>
        <v>471.18</v>
      </c>
      <c r="N125" s="311">
        <v>18.56</v>
      </c>
      <c r="O125" s="321">
        <f>J125*N125</f>
        <v>207.872</v>
      </c>
    </row>
    <row r="126" spans="1:15" s="8" customFormat="1" ht="84" customHeight="1" hidden="1">
      <c r="A126" s="118"/>
      <c r="B126" s="114"/>
      <c r="C126" s="138" t="s">
        <v>330</v>
      </c>
      <c r="D126" s="111" t="s">
        <v>200</v>
      </c>
      <c r="E126" s="107">
        <v>42.07</v>
      </c>
      <c r="F126" s="107" t="s">
        <v>34</v>
      </c>
      <c r="G126" s="134"/>
      <c r="H126" s="45"/>
      <c r="I126" s="45"/>
      <c r="J126" s="110"/>
      <c r="K126" s="122"/>
      <c r="N126" s="311"/>
      <c r="O126" s="322"/>
    </row>
    <row r="127" spans="1:103" s="20" customFormat="1" ht="18.75" customHeight="1">
      <c r="A127" s="84" t="s">
        <v>34</v>
      </c>
      <c r="B127" s="85" t="s">
        <v>21</v>
      </c>
      <c r="C127" s="798" t="s">
        <v>22</v>
      </c>
      <c r="D127" s="799"/>
      <c r="E127" s="799"/>
      <c r="F127" s="799"/>
      <c r="G127" s="799"/>
      <c r="H127" s="799"/>
      <c r="I127" s="799"/>
      <c r="J127" s="799"/>
      <c r="K127" s="800"/>
      <c r="L127" s="79"/>
      <c r="M127" s="79"/>
      <c r="N127" s="310"/>
      <c r="O127" s="321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</row>
    <row r="128" spans="1:103" s="20" customFormat="1" ht="19.5" customHeight="1">
      <c r="A128" s="119">
        <v>37</v>
      </c>
      <c r="B128" s="113" t="s">
        <v>286</v>
      </c>
      <c r="C128" s="139" t="s">
        <v>273</v>
      </c>
      <c r="D128" s="109" t="s">
        <v>199</v>
      </c>
      <c r="E128" s="110" t="s">
        <v>34</v>
      </c>
      <c r="F128" s="100">
        <f>PR2_pozwolenie!F127</f>
        <v>203.2</v>
      </c>
      <c r="G128" s="204"/>
      <c r="H128" s="132"/>
      <c r="I128" s="132"/>
      <c r="J128" s="110">
        <v>43.37</v>
      </c>
      <c r="K128" s="121">
        <f aca="true" t="shared" si="10" ref="K128:K134">J128*F128</f>
        <v>8812.78</v>
      </c>
      <c r="L128" s="79"/>
      <c r="M128" s="79"/>
      <c r="N128" s="310">
        <v>53.55</v>
      </c>
      <c r="O128" s="321">
        <f aca="true" t="shared" si="11" ref="O128:O139">J128*N128</f>
        <v>2322.4635</v>
      </c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</row>
    <row r="129" spans="1:103" s="20" customFormat="1" ht="70.5" customHeight="1" hidden="1">
      <c r="A129" s="118"/>
      <c r="B129" s="114"/>
      <c r="C129" s="138" t="s">
        <v>331</v>
      </c>
      <c r="D129" s="111" t="s">
        <v>200</v>
      </c>
      <c r="E129" s="107">
        <v>82.81</v>
      </c>
      <c r="F129" s="100" t="str">
        <f>PR2_pozwolenie!F128</f>
        <v>x</v>
      </c>
      <c r="G129" s="204"/>
      <c r="H129" s="132"/>
      <c r="I129" s="132"/>
      <c r="J129" s="110"/>
      <c r="K129" s="121" t="e">
        <f t="shared" si="10"/>
        <v>#VALUE!</v>
      </c>
      <c r="L129" s="79"/>
      <c r="M129" s="79"/>
      <c r="N129" s="310"/>
      <c r="O129" s="321">
        <f t="shared" si="11"/>
        <v>0</v>
      </c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</row>
    <row r="130" spans="1:103" s="179" customFormat="1" ht="18" customHeight="1">
      <c r="A130" s="119">
        <v>38</v>
      </c>
      <c r="B130" s="113" t="s">
        <v>286</v>
      </c>
      <c r="C130" s="139" t="s">
        <v>274</v>
      </c>
      <c r="D130" s="109" t="s">
        <v>199</v>
      </c>
      <c r="E130" s="110" t="s">
        <v>34</v>
      </c>
      <c r="F130" s="100">
        <f>PR2_pozwolenie!F129</f>
        <v>30</v>
      </c>
      <c r="G130" s="205"/>
      <c r="H130" s="801"/>
      <c r="I130" s="801"/>
      <c r="J130" s="110">
        <v>60.65</v>
      </c>
      <c r="K130" s="121">
        <f t="shared" si="10"/>
        <v>1819.5</v>
      </c>
      <c r="L130" s="178"/>
      <c r="M130" s="178"/>
      <c r="N130" s="307">
        <v>31.49</v>
      </c>
      <c r="O130" s="321">
        <f t="shared" si="11"/>
        <v>1909.8685</v>
      </c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178"/>
      <c r="AQ130" s="178"/>
      <c r="AR130" s="178"/>
      <c r="AS130" s="178"/>
      <c r="AT130" s="178"/>
      <c r="AU130" s="178"/>
      <c r="AV130" s="178"/>
      <c r="AW130" s="178"/>
      <c r="AX130" s="178"/>
      <c r="AY130" s="178"/>
      <c r="AZ130" s="178"/>
      <c r="BA130" s="178"/>
      <c r="BB130" s="178"/>
      <c r="BC130" s="178"/>
      <c r="BD130" s="178"/>
      <c r="BE130" s="178"/>
      <c r="BF130" s="178"/>
      <c r="BG130" s="178"/>
      <c r="BH130" s="178"/>
      <c r="BI130" s="178"/>
      <c r="BJ130" s="178"/>
      <c r="BK130" s="178"/>
      <c r="BL130" s="178"/>
      <c r="BM130" s="178"/>
      <c r="BN130" s="178"/>
      <c r="BO130" s="178"/>
      <c r="BP130" s="178"/>
      <c r="BQ130" s="178"/>
      <c r="BR130" s="178"/>
      <c r="BS130" s="178"/>
      <c r="BT130" s="178"/>
      <c r="BU130" s="178"/>
      <c r="BV130" s="178"/>
      <c r="BW130" s="178"/>
      <c r="BX130" s="178"/>
      <c r="BY130" s="178"/>
      <c r="BZ130" s="178"/>
      <c r="CA130" s="178"/>
      <c r="CB130" s="178"/>
      <c r="CC130" s="178"/>
      <c r="CD130" s="178"/>
      <c r="CE130" s="178"/>
      <c r="CF130" s="178"/>
      <c r="CG130" s="178"/>
      <c r="CH130" s="178"/>
      <c r="CI130" s="178"/>
      <c r="CJ130" s="178"/>
      <c r="CK130" s="178"/>
      <c r="CL130" s="178"/>
      <c r="CM130" s="178"/>
      <c r="CN130" s="178"/>
      <c r="CO130" s="178"/>
      <c r="CP130" s="178"/>
      <c r="CQ130" s="178"/>
      <c r="CR130" s="178"/>
      <c r="CS130" s="178"/>
      <c r="CT130" s="178"/>
      <c r="CU130" s="178"/>
      <c r="CV130" s="178"/>
      <c r="CW130" s="178"/>
      <c r="CX130" s="178"/>
      <c r="CY130" s="178"/>
    </row>
    <row r="131" spans="1:103" s="179" customFormat="1" ht="47.25" customHeight="1" hidden="1">
      <c r="A131" s="118"/>
      <c r="B131" s="114"/>
      <c r="C131" s="138" t="s">
        <v>332</v>
      </c>
      <c r="D131" s="111" t="s">
        <v>200</v>
      </c>
      <c r="E131" s="107">
        <v>151.3</v>
      </c>
      <c r="F131" s="100" t="str">
        <f>PR2_pozwolenie!F130</f>
        <v>x</v>
      </c>
      <c r="G131" s="205"/>
      <c r="H131" s="43">
        <v>24.73</v>
      </c>
      <c r="I131" s="43">
        <f>H131*F130</f>
        <v>741.9</v>
      </c>
      <c r="J131" s="110"/>
      <c r="K131" s="121" t="e">
        <f t="shared" si="10"/>
        <v>#VALUE!</v>
      </c>
      <c r="L131" s="178"/>
      <c r="M131" s="178"/>
      <c r="N131" s="307"/>
      <c r="O131" s="321">
        <f t="shared" si="11"/>
        <v>0</v>
      </c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8"/>
      <c r="AS131" s="178"/>
      <c r="AT131" s="178"/>
      <c r="AU131" s="178"/>
      <c r="AV131" s="178"/>
      <c r="AW131" s="178"/>
      <c r="AX131" s="178"/>
      <c r="AY131" s="178"/>
      <c r="AZ131" s="178"/>
      <c r="BA131" s="178"/>
      <c r="BB131" s="178"/>
      <c r="BC131" s="178"/>
      <c r="BD131" s="178"/>
      <c r="BE131" s="178"/>
      <c r="BF131" s="178"/>
      <c r="BG131" s="178"/>
      <c r="BH131" s="178"/>
      <c r="BI131" s="178"/>
      <c r="BJ131" s="178"/>
      <c r="BK131" s="178"/>
      <c r="BL131" s="178"/>
      <c r="BM131" s="178"/>
      <c r="BN131" s="178"/>
      <c r="BO131" s="178"/>
      <c r="BP131" s="178"/>
      <c r="BQ131" s="178"/>
      <c r="BR131" s="178"/>
      <c r="BS131" s="178"/>
      <c r="BT131" s="178"/>
      <c r="BU131" s="178"/>
      <c r="BV131" s="178"/>
      <c r="BW131" s="178"/>
      <c r="BX131" s="178"/>
      <c r="BY131" s="178"/>
      <c r="BZ131" s="178"/>
      <c r="CA131" s="178"/>
      <c r="CB131" s="178"/>
      <c r="CC131" s="178"/>
      <c r="CD131" s="178"/>
      <c r="CE131" s="178"/>
      <c r="CF131" s="178"/>
      <c r="CG131" s="178"/>
      <c r="CH131" s="178"/>
      <c r="CI131" s="178"/>
      <c r="CJ131" s="178"/>
      <c r="CK131" s="178"/>
      <c r="CL131" s="178"/>
      <c r="CM131" s="178"/>
      <c r="CN131" s="178"/>
      <c r="CO131" s="178"/>
      <c r="CP131" s="178"/>
      <c r="CQ131" s="178"/>
      <c r="CR131" s="178"/>
      <c r="CS131" s="178"/>
      <c r="CT131" s="178"/>
      <c r="CU131" s="178"/>
      <c r="CV131" s="178"/>
      <c r="CW131" s="178"/>
      <c r="CX131" s="178"/>
      <c r="CY131" s="178"/>
    </row>
    <row r="132" spans="1:103" s="179" customFormat="1" ht="20.25" customHeight="1">
      <c r="A132" s="119">
        <v>39</v>
      </c>
      <c r="B132" s="112" t="s">
        <v>287</v>
      </c>
      <c r="C132" s="139" t="s">
        <v>275</v>
      </c>
      <c r="D132" s="109" t="s">
        <v>199</v>
      </c>
      <c r="E132" s="110" t="s">
        <v>34</v>
      </c>
      <c r="F132" s="100">
        <f>PR2_pozwolenie!F131</f>
        <v>43.7</v>
      </c>
      <c r="G132" s="205"/>
      <c r="H132" s="43"/>
      <c r="I132" s="43"/>
      <c r="J132" s="110">
        <v>37.9</v>
      </c>
      <c r="K132" s="121">
        <f t="shared" si="10"/>
        <v>1656.23</v>
      </c>
      <c r="L132" s="178"/>
      <c r="M132" s="178"/>
      <c r="N132" s="307">
        <v>53.55</v>
      </c>
      <c r="O132" s="321">
        <f t="shared" si="11"/>
        <v>2029.545</v>
      </c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178"/>
      <c r="AT132" s="178"/>
      <c r="AU132" s="178"/>
      <c r="AV132" s="178"/>
      <c r="AW132" s="178"/>
      <c r="AX132" s="178"/>
      <c r="AY132" s="178"/>
      <c r="AZ132" s="178"/>
      <c r="BA132" s="178"/>
      <c r="BB132" s="178"/>
      <c r="BC132" s="178"/>
      <c r="BD132" s="178"/>
      <c r="BE132" s="178"/>
      <c r="BF132" s="178"/>
      <c r="BG132" s="178"/>
      <c r="BH132" s="178"/>
      <c r="BI132" s="178"/>
      <c r="BJ132" s="178"/>
      <c r="BK132" s="178"/>
      <c r="BL132" s="178"/>
      <c r="BM132" s="178"/>
      <c r="BN132" s="178"/>
      <c r="BO132" s="178"/>
      <c r="BP132" s="178"/>
      <c r="BQ132" s="178"/>
      <c r="BR132" s="178"/>
      <c r="BS132" s="178"/>
      <c r="BT132" s="178"/>
      <c r="BU132" s="178"/>
      <c r="BV132" s="178"/>
      <c r="BW132" s="178"/>
      <c r="BX132" s="178"/>
      <c r="BY132" s="178"/>
      <c r="BZ132" s="178"/>
      <c r="CA132" s="178"/>
      <c r="CB132" s="178"/>
      <c r="CC132" s="178"/>
      <c r="CD132" s="178"/>
      <c r="CE132" s="178"/>
      <c r="CF132" s="178"/>
      <c r="CG132" s="178"/>
      <c r="CH132" s="178"/>
      <c r="CI132" s="178"/>
      <c r="CJ132" s="178"/>
      <c r="CK132" s="178"/>
      <c r="CL132" s="178"/>
      <c r="CM132" s="178"/>
      <c r="CN132" s="178"/>
      <c r="CO132" s="178"/>
      <c r="CP132" s="178"/>
      <c r="CQ132" s="178"/>
      <c r="CR132" s="178"/>
      <c r="CS132" s="178"/>
      <c r="CT132" s="178"/>
      <c r="CU132" s="178"/>
      <c r="CV132" s="178"/>
      <c r="CW132" s="178"/>
      <c r="CX132" s="178"/>
      <c r="CY132" s="178"/>
    </row>
    <row r="133" spans="1:103" s="179" customFormat="1" ht="66.75" customHeight="1" hidden="1">
      <c r="A133" s="118"/>
      <c r="B133" s="114"/>
      <c r="C133" s="138" t="s">
        <v>333</v>
      </c>
      <c r="D133" s="111" t="s">
        <v>200</v>
      </c>
      <c r="E133" s="107">
        <v>82.81</v>
      </c>
      <c r="F133" s="100" t="str">
        <f>PR2_pozwolenie!F132</f>
        <v>x</v>
      </c>
      <c r="G133" s="205"/>
      <c r="H133" s="43"/>
      <c r="I133" s="43"/>
      <c r="J133" s="110"/>
      <c r="K133" s="121" t="e">
        <f t="shared" si="10"/>
        <v>#VALUE!</v>
      </c>
      <c r="L133" s="178"/>
      <c r="M133" s="178"/>
      <c r="N133" s="307"/>
      <c r="O133" s="321">
        <f t="shared" si="11"/>
        <v>0</v>
      </c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78"/>
      <c r="AT133" s="178"/>
      <c r="AU133" s="178"/>
      <c r="AV133" s="178"/>
      <c r="AW133" s="178"/>
      <c r="AX133" s="178"/>
      <c r="AY133" s="178"/>
      <c r="AZ133" s="178"/>
      <c r="BA133" s="178"/>
      <c r="BB133" s="178"/>
      <c r="BC133" s="178"/>
      <c r="BD133" s="178"/>
      <c r="BE133" s="178"/>
      <c r="BF133" s="178"/>
      <c r="BG133" s="178"/>
      <c r="BH133" s="178"/>
      <c r="BI133" s="178"/>
      <c r="BJ133" s="178"/>
      <c r="BK133" s="178"/>
      <c r="BL133" s="178"/>
      <c r="BM133" s="178"/>
      <c r="BN133" s="178"/>
      <c r="BO133" s="178"/>
      <c r="BP133" s="178"/>
      <c r="BQ133" s="178"/>
      <c r="BR133" s="178"/>
      <c r="BS133" s="178"/>
      <c r="BT133" s="178"/>
      <c r="BU133" s="178"/>
      <c r="BV133" s="178"/>
      <c r="BW133" s="178"/>
      <c r="BX133" s="178"/>
      <c r="BY133" s="178"/>
      <c r="BZ133" s="178"/>
      <c r="CA133" s="178"/>
      <c r="CB133" s="178"/>
      <c r="CC133" s="178"/>
      <c r="CD133" s="178"/>
      <c r="CE133" s="178"/>
      <c r="CF133" s="178"/>
      <c r="CG133" s="178"/>
      <c r="CH133" s="178"/>
      <c r="CI133" s="178"/>
      <c r="CJ133" s="178"/>
      <c r="CK133" s="178"/>
      <c r="CL133" s="178"/>
      <c r="CM133" s="178"/>
      <c r="CN133" s="178"/>
      <c r="CO133" s="178"/>
      <c r="CP133" s="178"/>
      <c r="CQ133" s="178"/>
      <c r="CR133" s="178"/>
      <c r="CS133" s="178"/>
      <c r="CT133" s="178"/>
      <c r="CU133" s="178"/>
      <c r="CV133" s="178"/>
      <c r="CW133" s="178"/>
      <c r="CX133" s="178"/>
      <c r="CY133" s="178"/>
    </row>
    <row r="134" spans="1:103" s="20" customFormat="1" ht="24.75" customHeight="1">
      <c r="A134" s="119">
        <v>40</v>
      </c>
      <c r="B134" s="112" t="s">
        <v>287</v>
      </c>
      <c r="C134" s="139" t="s">
        <v>276</v>
      </c>
      <c r="D134" s="109" t="s">
        <v>199</v>
      </c>
      <c r="E134" s="110" t="s">
        <v>34</v>
      </c>
      <c r="F134" s="100">
        <f>PR2_pozwolenie!F133</f>
        <v>197.75</v>
      </c>
      <c r="G134" s="204"/>
      <c r="H134" s="46"/>
      <c r="I134" s="46"/>
      <c r="J134" s="110">
        <v>47.38</v>
      </c>
      <c r="K134" s="121">
        <f t="shared" si="10"/>
        <v>9369.4</v>
      </c>
      <c r="L134" s="79"/>
      <c r="M134" s="213"/>
      <c r="N134" s="310">
        <v>34.92</v>
      </c>
      <c r="O134" s="321">
        <f t="shared" si="11"/>
        <v>1654.5096</v>
      </c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/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9"/>
      <c r="CQ134" s="79"/>
      <c r="CR134" s="79"/>
      <c r="CS134" s="79"/>
      <c r="CT134" s="79"/>
      <c r="CU134" s="79"/>
      <c r="CV134" s="79"/>
      <c r="CW134" s="79"/>
      <c r="CX134" s="79"/>
      <c r="CY134" s="79"/>
    </row>
    <row r="135" spans="1:103" s="20" customFormat="1" ht="40.5" customHeight="1" hidden="1">
      <c r="A135" s="118"/>
      <c r="B135" s="114"/>
      <c r="C135" s="138" t="s">
        <v>334</v>
      </c>
      <c r="D135" s="111" t="s">
        <v>200</v>
      </c>
      <c r="E135" s="107">
        <v>151.3</v>
      </c>
      <c r="F135" s="107" t="s">
        <v>34</v>
      </c>
      <c r="G135" s="204"/>
      <c r="H135" s="46"/>
      <c r="I135" s="46"/>
      <c r="J135" s="110"/>
      <c r="K135" s="159"/>
      <c r="L135" s="79"/>
      <c r="M135" s="79"/>
      <c r="N135" s="310"/>
      <c r="O135" s="321">
        <f t="shared" si="11"/>
        <v>0</v>
      </c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/>
      <c r="CA135" s="79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79"/>
      <c r="CY135" s="79"/>
    </row>
    <row r="136" spans="1:103" s="20" customFormat="1" ht="16.5" customHeight="1">
      <c r="A136" s="84" t="s">
        <v>34</v>
      </c>
      <c r="B136" s="85" t="s">
        <v>455</v>
      </c>
      <c r="C136" s="798" t="s">
        <v>456</v>
      </c>
      <c r="D136" s="799"/>
      <c r="E136" s="799"/>
      <c r="F136" s="799"/>
      <c r="G136" s="799"/>
      <c r="H136" s="799"/>
      <c r="I136" s="799"/>
      <c r="J136" s="799"/>
      <c r="K136" s="800"/>
      <c r="L136" s="79"/>
      <c r="M136" s="79"/>
      <c r="N136" s="310"/>
      <c r="O136" s="321">
        <f t="shared" si="11"/>
        <v>0</v>
      </c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/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 s="79"/>
    </row>
    <row r="137" spans="1:103" s="20" customFormat="1" ht="22.5" customHeight="1">
      <c r="A137" s="119">
        <v>41</v>
      </c>
      <c r="B137" s="112" t="s">
        <v>457</v>
      </c>
      <c r="C137" s="139" t="s">
        <v>458</v>
      </c>
      <c r="D137" s="109" t="s">
        <v>199</v>
      </c>
      <c r="E137" s="110" t="s">
        <v>34</v>
      </c>
      <c r="F137" s="110">
        <f>PR2_pozwolenie!F136</f>
        <v>44</v>
      </c>
      <c r="G137" s="326"/>
      <c r="H137" s="327"/>
      <c r="I137" s="327"/>
      <c r="J137" s="110">
        <v>21.8</v>
      </c>
      <c r="K137" s="159">
        <f>J137*F137</f>
        <v>959.2</v>
      </c>
      <c r="L137" s="79"/>
      <c r="M137" s="79"/>
      <c r="N137" s="310">
        <v>55.86</v>
      </c>
      <c r="O137" s="321">
        <f t="shared" si="11"/>
        <v>1217.748</v>
      </c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9"/>
      <c r="CQ137" s="79"/>
      <c r="CR137" s="79"/>
      <c r="CS137" s="79"/>
      <c r="CT137" s="79"/>
      <c r="CU137" s="79"/>
      <c r="CV137" s="79"/>
      <c r="CW137" s="79"/>
      <c r="CX137" s="79"/>
      <c r="CY137" s="79"/>
    </row>
    <row r="138" spans="1:103" s="20" customFormat="1" ht="22.5" customHeight="1">
      <c r="A138" s="84" t="s">
        <v>34</v>
      </c>
      <c r="B138" s="85" t="s">
        <v>459</v>
      </c>
      <c r="C138" s="798" t="s">
        <v>460</v>
      </c>
      <c r="D138" s="799"/>
      <c r="E138" s="799"/>
      <c r="F138" s="799"/>
      <c r="G138" s="799"/>
      <c r="H138" s="799"/>
      <c r="I138" s="799"/>
      <c r="J138" s="799"/>
      <c r="K138" s="800"/>
      <c r="L138" s="79"/>
      <c r="M138" s="79"/>
      <c r="N138" s="310"/>
      <c r="O138" s="321">
        <f t="shared" si="11"/>
        <v>0</v>
      </c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/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</row>
    <row r="139" spans="1:103" s="20" customFormat="1" ht="28.5" customHeight="1">
      <c r="A139" s="119">
        <v>42</v>
      </c>
      <c r="B139" s="112" t="s">
        <v>461</v>
      </c>
      <c r="C139" s="139" t="s">
        <v>462</v>
      </c>
      <c r="D139" s="109" t="s">
        <v>199</v>
      </c>
      <c r="E139" s="110" t="s">
        <v>34</v>
      </c>
      <c r="F139" s="110" t="e">
        <f>PR2_pozwolenie!#REF!</f>
        <v>#REF!</v>
      </c>
      <c r="G139" s="326"/>
      <c r="H139" s="327"/>
      <c r="I139" s="327"/>
      <c r="J139" s="328">
        <v>18.5</v>
      </c>
      <c r="K139" s="159" t="e">
        <f>J139*F139</f>
        <v>#REF!</v>
      </c>
      <c r="L139" s="79"/>
      <c r="M139" s="79"/>
      <c r="N139" s="310">
        <v>44.2</v>
      </c>
      <c r="O139" s="321">
        <f t="shared" si="11"/>
        <v>817.7</v>
      </c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79"/>
      <c r="CQ139" s="79"/>
      <c r="CR139" s="79"/>
      <c r="CS139" s="79"/>
      <c r="CT139" s="79"/>
      <c r="CU139" s="79"/>
      <c r="CV139" s="79"/>
      <c r="CW139" s="79"/>
      <c r="CX139" s="79"/>
      <c r="CY139" s="79"/>
    </row>
    <row r="140" spans="1:103" s="20" customFormat="1" ht="20.25" customHeight="1">
      <c r="A140" s="805" t="s">
        <v>440</v>
      </c>
      <c r="B140" s="806"/>
      <c r="C140" s="806"/>
      <c r="D140" s="806"/>
      <c r="E140" s="806"/>
      <c r="F140" s="806"/>
      <c r="G140" s="806"/>
      <c r="H140" s="806"/>
      <c r="I140" s="806"/>
      <c r="J140" s="807"/>
      <c r="K140" s="268" t="e">
        <f>K125+K128+K132+K130+K134+K137+K139</f>
        <v>#REF!</v>
      </c>
      <c r="L140" s="79"/>
      <c r="M140" s="79"/>
      <c r="N140" s="310"/>
      <c r="O140" s="268">
        <f>O125+O128+O132+O130+O134+O137+O139</f>
        <v>10159.71</v>
      </c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/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79"/>
      <c r="CQ140" s="79"/>
      <c r="CR140" s="79"/>
      <c r="CS140" s="79"/>
      <c r="CT140" s="79"/>
      <c r="CU140" s="79"/>
      <c r="CV140" s="79"/>
      <c r="CW140" s="79"/>
      <c r="CX140" s="79"/>
      <c r="CY140" s="79"/>
    </row>
    <row r="141" spans="1:103" s="51" customFormat="1" ht="25.5" customHeight="1">
      <c r="A141" s="28" t="s">
        <v>67</v>
      </c>
      <c r="B141" s="25" t="s">
        <v>64</v>
      </c>
      <c r="C141" s="795" t="s">
        <v>206</v>
      </c>
      <c r="D141" s="796"/>
      <c r="E141" s="796"/>
      <c r="F141" s="796"/>
      <c r="G141" s="796"/>
      <c r="H141" s="796"/>
      <c r="I141" s="796"/>
      <c r="J141" s="796"/>
      <c r="K141" s="797"/>
      <c r="L141" s="80"/>
      <c r="M141" s="80"/>
      <c r="N141" s="306"/>
      <c r="O141" s="317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</row>
    <row r="142" spans="1:15" s="8" customFormat="1" ht="19.5" customHeight="1">
      <c r="A142" s="84" t="s">
        <v>34</v>
      </c>
      <c r="B142" s="85" t="s">
        <v>23</v>
      </c>
      <c r="C142" s="798" t="s">
        <v>190</v>
      </c>
      <c r="D142" s="799"/>
      <c r="E142" s="799"/>
      <c r="F142" s="799"/>
      <c r="G142" s="799"/>
      <c r="H142" s="799"/>
      <c r="I142" s="799"/>
      <c r="J142" s="799"/>
      <c r="K142" s="800"/>
      <c r="N142" s="311"/>
      <c r="O142" s="322"/>
    </row>
    <row r="143" spans="1:15" s="11" customFormat="1" ht="15.75" customHeight="1">
      <c r="A143" s="119">
        <v>43</v>
      </c>
      <c r="B143" s="113" t="s">
        <v>0</v>
      </c>
      <c r="C143" s="139" t="s">
        <v>79</v>
      </c>
      <c r="D143" s="109" t="s">
        <v>199</v>
      </c>
      <c r="E143" s="110" t="s">
        <v>34</v>
      </c>
      <c r="F143" s="110">
        <f>PR2_pozwolenie!F140</f>
        <v>252</v>
      </c>
      <c r="G143" s="143"/>
      <c r="H143" s="801"/>
      <c r="I143" s="801"/>
      <c r="J143" s="124">
        <v>4.1</v>
      </c>
      <c r="K143" s="121">
        <f>J143*F143</f>
        <v>1033.2</v>
      </c>
      <c r="N143" s="314">
        <v>23.49</v>
      </c>
      <c r="O143" s="321">
        <f aca="true" t="shared" si="12" ref="O143:O149">J143*N143</f>
        <v>96.309</v>
      </c>
    </row>
    <row r="144" spans="1:15" s="8" customFormat="1" ht="52.5" customHeight="1" hidden="1">
      <c r="A144" s="119"/>
      <c r="B144" s="113"/>
      <c r="C144" s="138" t="s">
        <v>335</v>
      </c>
      <c r="D144" s="111" t="s">
        <v>200</v>
      </c>
      <c r="E144" s="107">
        <v>105.14</v>
      </c>
      <c r="F144" s="107" t="s">
        <v>34</v>
      </c>
      <c r="G144" s="144"/>
      <c r="H144" s="43">
        <v>14.94</v>
      </c>
      <c r="I144" s="43">
        <f>H144*F143</f>
        <v>3764.88</v>
      </c>
      <c r="J144" s="124"/>
      <c r="K144" s="122"/>
      <c r="N144" s="311"/>
      <c r="O144" s="321">
        <f t="shared" si="12"/>
        <v>0</v>
      </c>
    </row>
    <row r="145" spans="1:15" s="8" customFormat="1" ht="39" hidden="1">
      <c r="A145" s="118" t="s">
        <v>310</v>
      </c>
      <c r="B145" s="114" t="s">
        <v>0</v>
      </c>
      <c r="C145" s="138" t="s">
        <v>336</v>
      </c>
      <c r="D145" s="111" t="s">
        <v>200</v>
      </c>
      <c r="E145" s="107">
        <v>105.14</v>
      </c>
      <c r="F145" s="107">
        <f>E145</f>
        <v>105.14</v>
      </c>
      <c r="G145" s="144"/>
      <c r="H145" s="43"/>
      <c r="I145" s="43"/>
      <c r="J145" s="124"/>
      <c r="K145" s="122"/>
      <c r="N145" s="311"/>
      <c r="O145" s="321">
        <f t="shared" si="12"/>
        <v>0</v>
      </c>
    </row>
    <row r="146" spans="1:15" s="8" customFormat="1" ht="18.75" customHeight="1">
      <c r="A146" s="119">
        <v>44</v>
      </c>
      <c r="B146" s="112" t="s">
        <v>130</v>
      </c>
      <c r="C146" s="139" t="s">
        <v>191</v>
      </c>
      <c r="D146" s="109" t="s">
        <v>199</v>
      </c>
      <c r="E146" s="110" t="s">
        <v>34</v>
      </c>
      <c r="F146" s="110">
        <f>PR2_pozwolenie!F143</f>
        <v>0</v>
      </c>
      <c r="G146" s="144"/>
      <c r="H146" s="43"/>
      <c r="I146" s="43"/>
      <c r="J146" s="124">
        <v>100</v>
      </c>
      <c r="K146" s="121">
        <f>J146*F146</f>
        <v>0</v>
      </c>
      <c r="N146" s="311">
        <v>7.4</v>
      </c>
      <c r="O146" s="321">
        <f t="shared" si="12"/>
        <v>740</v>
      </c>
    </row>
    <row r="147" spans="1:15" s="8" customFormat="1" ht="54" customHeight="1" hidden="1">
      <c r="A147" s="118"/>
      <c r="B147" s="114"/>
      <c r="C147" s="138" t="s">
        <v>337</v>
      </c>
      <c r="D147" s="111" t="s">
        <v>200</v>
      </c>
      <c r="E147" s="107">
        <v>14.8</v>
      </c>
      <c r="F147" s="107" t="s">
        <v>34</v>
      </c>
      <c r="G147" s="144"/>
      <c r="H147" s="43"/>
      <c r="I147" s="43"/>
      <c r="J147" s="211"/>
      <c r="K147" s="156"/>
      <c r="L147" s="129"/>
      <c r="N147" s="311"/>
      <c r="O147" s="321">
        <f t="shared" si="12"/>
        <v>0</v>
      </c>
    </row>
    <row r="148" spans="1:15" s="11" customFormat="1" ht="18" customHeight="1">
      <c r="A148" s="84" t="s">
        <v>34</v>
      </c>
      <c r="B148" s="85" t="s">
        <v>219</v>
      </c>
      <c r="C148" s="798" t="s">
        <v>220</v>
      </c>
      <c r="D148" s="799"/>
      <c r="E148" s="799"/>
      <c r="F148" s="799"/>
      <c r="G148" s="799"/>
      <c r="H148" s="799"/>
      <c r="I148" s="799"/>
      <c r="J148" s="799"/>
      <c r="K148" s="800"/>
      <c r="N148" s="314"/>
      <c r="O148" s="321">
        <f t="shared" si="12"/>
        <v>0</v>
      </c>
    </row>
    <row r="149" spans="1:15" s="11" customFormat="1" ht="18.75" customHeight="1">
      <c r="A149" s="119">
        <v>45</v>
      </c>
      <c r="B149" s="113" t="s">
        <v>221</v>
      </c>
      <c r="C149" s="139" t="s">
        <v>222</v>
      </c>
      <c r="D149" s="109" t="s">
        <v>11</v>
      </c>
      <c r="E149" s="110" t="s">
        <v>34</v>
      </c>
      <c r="F149" s="110" t="e">
        <f>PR2_pozwolenie!#REF!</f>
        <v>#REF!</v>
      </c>
      <c r="G149" s="145"/>
      <c r="H149" s="45"/>
      <c r="I149" s="45"/>
      <c r="J149" s="110">
        <v>5.4</v>
      </c>
      <c r="K149" s="121" t="e">
        <f>J149*F149</f>
        <v>#REF!</v>
      </c>
      <c r="M149" s="125"/>
      <c r="N149" s="314">
        <v>13</v>
      </c>
      <c r="O149" s="321">
        <f t="shared" si="12"/>
        <v>70.2</v>
      </c>
    </row>
    <row r="150" spans="1:15" s="11" customFormat="1" ht="69" customHeight="1" hidden="1">
      <c r="A150" s="119"/>
      <c r="B150" s="113"/>
      <c r="C150" s="138" t="s">
        <v>277</v>
      </c>
      <c r="D150" s="111" t="s">
        <v>11</v>
      </c>
      <c r="E150" s="107">
        <v>23</v>
      </c>
      <c r="F150" s="107" t="s">
        <v>34</v>
      </c>
      <c r="G150" s="145"/>
      <c r="H150" s="45"/>
      <c r="I150" s="45"/>
      <c r="J150" s="110"/>
      <c r="K150" s="122"/>
      <c r="N150" s="314"/>
      <c r="O150" s="325"/>
    </row>
    <row r="151" spans="1:15" s="11" customFormat="1" ht="25.5" customHeight="1">
      <c r="A151" s="805" t="s">
        <v>441</v>
      </c>
      <c r="B151" s="806"/>
      <c r="C151" s="806"/>
      <c r="D151" s="806"/>
      <c r="E151" s="806"/>
      <c r="F151" s="806"/>
      <c r="G151" s="806"/>
      <c r="H151" s="806"/>
      <c r="I151" s="806"/>
      <c r="J151" s="807"/>
      <c r="K151" s="267" t="e">
        <f>K143+K146+K149</f>
        <v>#REF!</v>
      </c>
      <c r="N151" s="314"/>
      <c r="O151" s="267">
        <f>O143+O146+O149</f>
        <v>906.51</v>
      </c>
    </row>
    <row r="152" spans="1:15" s="11" customFormat="1" ht="25.5" customHeight="1">
      <c r="A152" s="28" t="s">
        <v>101</v>
      </c>
      <c r="B152" s="25" t="s">
        <v>66</v>
      </c>
      <c r="C152" s="795" t="s">
        <v>207</v>
      </c>
      <c r="D152" s="796"/>
      <c r="E152" s="796"/>
      <c r="F152" s="796"/>
      <c r="G152" s="796"/>
      <c r="H152" s="796"/>
      <c r="I152" s="796"/>
      <c r="J152" s="796"/>
      <c r="K152" s="797"/>
      <c r="N152" s="314"/>
      <c r="O152" s="325"/>
    </row>
    <row r="153" spans="1:15" s="11" customFormat="1" ht="18" customHeight="1">
      <c r="A153" s="84" t="s">
        <v>34</v>
      </c>
      <c r="B153" s="85" t="s">
        <v>132</v>
      </c>
      <c r="C153" s="798" t="s">
        <v>131</v>
      </c>
      <c r="D153" s="799"/>
      <c r="E153" s="799"/>
      <c r="F153" s="799"/>
      <c r="G153" s="799"/>
      <c r="H153" s="799"/>
      <c r="I153" s="799"/>
      <c r="J153" s="799"/>
      <c r="K153" s="800"/>
      <c r="N153" s="314"/>
      <c r="O153" s="325"/>
    </row>
    <row r="154" spans="1:15" s="11" customFormat="1" ht="18" customHeight="1">
      <c r="A154" s="119">
        <v>46</v>
      </c>
      <c r="B154" s="112" t="s">
        <v>133</v>
      </c>
      <c r="C154" s="139" t="s">
        <v>192</v>
      </c>
      <c r="D154" s="109" t="s">
        <v>9</v>
      </c>
      <c r="E154" s="110" t="s">
        <v>34</v>
      </c>
      <c r="F154" s="110">
        <f>PR2_pozwolenie!F169</f>
        <v>3</v>
      </c>
      <c r="G154" s="145"/>
      <c r="H154" s="45"/>
      <c r="I154" s="45"/>
      <c r="J154" s="110">
        <v>30</v>
      </c>
      <c r="K154" s="121">
        <f>J154*F154</f>
        <v>90</v>
      </c>
      <c r="N154" s="314">
        <v>0</v>
      </c>
      <c r="O154" s="321">
        <f aca="true" t="shared" si="13" ref="O154:O159">J154*N154</f>
        <v>0</v>
      </c>
    </row>
    <row r="155" spans="1:15" s="11" customFormat="1" ht="40.5" customHeight="1" hidden="1">
      <c r="A155" s="118"/>
      <c r="B155" s="114"/>
      <c r="C155" s="138" t="s">
        <v>278</v>
      </c>
      <c r="D155" s="111" t="s">
        <v>9</v>
      </c>
      <c r="E155" s="107">
        <v>2</v>
      </c>
      <c r="F155" s="110" t="str">
        <f>PR2_pozwolenie!F170</f>
        <v>x</v>
      </c>
      <c r="G155" s="145"/>
      <c r="H155" s="45"/>
      <c r="I155" s="45"/>
      <c r="J155" s="110"/>
      <c r="K155" s="121" t="e">
        <f>J155*F155</f>
        <v>#VALUE!</v>
      </c>
      <c r="N155" s="314"/>
      <c r="O155" s="321">
        <f t="shared" si="13"/>
        <v>0</v>
      </c>
    </row>
    <row r="156" spans="1:15" s="11" customFormat="1" ht="18" customHeight="1">
      <c r="A156" s="119">
        <v>47</v>
      </c>
      <c r="B156" s="112" t="s">
        <v>193</v>
      </c>
      <c r="C156" s="139" t="s">
        <v>279</v>
      </c>
      <c r="D156" s="109" t="s">
        <v>9</v>
      </c>
      <c r="E156" s="110" t="s">
        <v>34</v>
      </c>
      <c r="F156" s="110">
        <f>PR2_pozwolenie!F171</f>
        <v>5</v>
      </c>
      <c r="G156" s="145"/>
      <c r="H156" s="45"/>
      <c r="I156" s="45"/>
      <c r="J156" s="110">
        <v>10</v>
      </c>
      <c r="K156" s="121">
        <f>J156*F156</f>
        <v>50</v>
      </c>
      <c r="N156" s="314">
        <v>0</v>
      </c>
      <c r="O156" s="321">
        <f t="shared" si="13"/>
        <v>0</v>
      </c>
    </row>
    <row r="157" spans="1:15" s="11" customFormat="1" ht="42.75" customHeight="1" hidden="1">
      <c r="A157" s="119"/>
      <c r="B157" s="114"/>
      <c r="C157" s="138" t="s">
        <v>280</v>
      </c>
      <c r="D157" s="111" t="s">
        <v>9</v>
      </c>
      <c r="E157" s="107">
        <v>2</v>
      </c>
      <c r="F157" s="110" t="s">
        <v>34</v>
      </c>
      <c r="G157" s="145"/>
      <c r="H157" s="45"/>
      <c r="I157" s="45"/>
      <c r="J157" s="110"/>
      <c r="K157" s="122"/>
      <c r="N157" s="314"/>
      <c r="O157" s="321">
        <f t="shared" si="13"/>
        <v>0</v>
      </c>
    </row>
    <row r="158" spans="1:15" s="11" customFormat="1" ht="18" customHeight="1">
      <c r="A158" s="84" t="s">
        <v>34</v>
      </c>
      <c r="B158" s="85" t="s">
        <v>194</v>
      </c>
      <c r="C158" s="798" t="s">
        <v>195</v>
      </c>
      <c r="D158" s="799"/>
      <c r="E158" s="799"/>
      <c r="F158" s="799"/>
      <c r="G158" s="799"/>
      <c r="H158" s="799"/>
      <c r="I158" s="799"/>
      <c r="J158" s="799"/>
      <c r="K158" s="800"/>
      <c r="N158" s="314"/>
      <c r="O158" s="321">
        <f t="shared" si="13"/>
        <v>0</v>
      </c>
    </row>
    <row r="159" spans="1:15" s="11" customFormat="1" ht="18.75" customHeight="1">
      <c r="A159" s="119">
        <v>48</v>
      </c>
      <c r="B159" s="112" t="s">
        <v>196</v>
      </c>
      <c r="C159" s="139" t="s">
        <v>281</v>
      </c>
      <c r="D159" s="109" t="s">
        <v>11</v>
      </c>
      <c r="E159" s="110" t="s">
        <v>34</v>
      </c>
      <c r="F159" s="110">
        <f>PR2_pozwolenie!F174</f>
        <v>0</v>
      </c>
      <c r="G159" s="145"/>
      <c r="H159" s="45"/>
      <c r="I159" s="45"/>
      <c r="J159" s="110">
        <v>180</v>
      </c>
      <c r="K159" s="121">
        <f>J159*F159</f>
        <v>0</v>
      </c>
      <c r="M159" s="126"/>
      <c r="N159" s="314">
        <v>7</v>
      </c>
      <c r="O159" s="321">
        <f t="shared" si="13"/>
        <v>1260</v>
      </c>
    </row>
    <row r="160" spans="1:15" s="11" customFormat="1" ht="40.5" customHeight="1" hidden="1">
      <c r="A160" s="119"/>
      <c r="B160" s="114"/>
      <c r="C160" s="138" t="s">
        <v>282</v>
      </c>
      <c r="D160" s="111" t="s">
        <v>11</v>
      </c>
      <c r="E160" s="107">
        <f>36</f>
        <v>36</v>
      </c>
      <c r="F160" s="110" t="s">
        <v>34</v>
      </c>
      <c r="G160" s="145"/>
      <c r="H160" s="45"/>
      <c r="I160" s="45"/>
      <c r="J160" s="110"/>
      <c r="K160" s="122"/>
      <c r="N160" s="314"/>
      <c r="O160" s="325"/>
    </row>
    <row r="161" spans="1:15" s="11" customFormat="1" ht="25.5" customHeight="1">
      <c r="A161" s="805" t="s">
        <v>442</v>
      </c>
      <c r="B161" s="806"/>
      <c r="C161" s="806"/>
      <c r="D161" s="806"/>
      <c r="E161" s="806"/>
      <c r="F161" s="806"/>
      <c r="G161" s="806"/>
      <c r="H161" s="806"/>
      <c r="I161" s="806"/>
      <c r="J161" s="807"/>
      <c r="K161" s="267">
        <f>K154+K156+K159</f>
        <v>140</v>
      </c>
      <c r="N161" s="314"/>
      <c r="O161" s="267">
        <f>O154+O156+O159</f>
        <v>1260</v>
      </c>
    </row>
    <row r="162" spans="1:15" s="11" customFormat="1" ht="30" customHeight="1">
      <c r="A162" s="28" t="s">
        <v>33</v>
      </c>
      <c r="B162" s="25" t="s">
        <v>68</v>
      </c>
      <c r="C162" s="795" t="s">
        <v>208</v>
      </c>
      <c r="D162" s="796"/>
      <c r="E162" s="796"/>
      <c r="F162" s="796"/>
      <c r="G162" s="796"/>
      <c r="H162" s="796"/>
      <c r="I162" s="796"/>
      <c r="J162" s="796"/>
      <c r="K162" s="797"/>
      <c r="N162" s="314"/>
      <c r="O162" s="325"/>
    </row>
    <row r="163" spans="1:15" s="11" customFormat="1" ht="18" customHeight="1">
      <c r="A163" s="84" t="s">
        <v>34</v>
      </c>
      <c r="B163" s="85" t="s">
        <v>24</v>
      </c>
      <c r="C163" s="798" t="s">
        <v>25</v>
      </c>
      <c r="D163" s="799"/>
      <c r="E163" s="799"/>
      <c r="F163" s="799"/>
      <c r="G163" s="799"/>
      <c r="H163" s="799"/>
      <c r="I163" s="799"/>
      <c r="J163" s="799"/>
      <c r="K163" s="800"/>
      <c r="N163" s="314"/>
      <c r="O163" s="325"/>
    </row>
    <row r="164" spans="1:15" s="11" customFormat="1" ht="29.25" customHeight="1">
      <c r="A164" s="119">
        <v>49</v>
      </c>
      <c r="B164" s="113" t="s">
        <v>283</v>
      </c>
      <c r="C164" s="142" t="s">
        <v>284</v>
      </c>
      <c r="D164" s="109" t="s">
        <v>11</v>
      </c>
      <c r="E164" s="110" t="s">
        <v>34</v>
      </c>
      <c r="F164" s="110">
        <f>PR2_pozwolenie!F198</f>
        <v>98</v>
      </c>
      <c r="G164" s="145"/>
      <c r="H164" s="45"/>
      <c r="I164" s="45"/>
      <c r="J164" s="110">
        <v>55.5</v>
      </c>
      <c r="K164" s="121">
        <f>J164*F164</f>
        <v>5439</v>
      </c>
      <c r="N164" s="314">
        <v>37.05</v>
      </c>
      <c r="O164" s="321">
        <f aca="true" t="shared" si="14" ref="O164:O172">J164*N164</f>
        <v>2056.275</v>
      </c>
    </row>
    <row r="165" spans="1:15" s="11" customFormat="1" ht="54.75" customHeight="1" hidden="1">
      <c r="A165" s="119"/>
      <c r="B165" s="114"/>
      <c r="C165" s="138" t="s">
        <v>338</v>
      </c>
      <c r="D165" s="111" t="s">
        <v>11</v>
      </c>
      <c r="E165" s="107">
        <v>181.25</v>
      </c>
      <c r="F165" s="110" t="s">
        <v>34</v>
      </c>
      <c r="G165" s="145"/>
      <c r="H165" s="45"/>
      <c r="I165" s="45"/>
      <c r="J165" s="110"/>
      <c r="K165" s="122"/>
      <c r="N165" s="314"/>
      <c r="O165" s="321">
        <f t="shared" si="14"/>
        <v>0</v>
      </c>
    </row>
    <row r="166" spans="1:15" s="8" customFormat="1" ht="18" customHeight="1">
      <c r="A166" s="84" t="s">
        <v>34</v>
      </c>
      <c r="B166" s="85" t="s">
        <v>26</v>
      </c>
      <c r="C166" s="798" t="s">
        <v>27</v>
      </c>
      <c r="D166" s="799"/>
      <c r="E166" s="799"/>
      <c r="F166" s="799"/>
      <c r="G166" s="799"/>
      <c r="H166" s="799"/>
      <c r="I166" s="799"/>
      <c r="J166" s="799"/>
      <c r="K166" s="800"/>
      <c r="N166" s="311"/>
      <c r="O166" s="321">
        <f t="shared" si="14"/>
        <v>0</v>
      </c>
    </row>
    <row r="167" spans="1:15" s="8" customFormat="1" ht="18" customHeight="1">
      <c r="A167" s="119">
        <v>50</v>
      </c>
      <c r="B167" s="113" t="s">
        <v>99</v>
      </c>
      <c r="C167" s="139" t="s">
        <v>100</v>
      </c>
      <c r="D167" s="109" t="s">
        <v>199</v>
      </c>
      <c r="E167" s="110" t="s">
        <v>34</v>
      </c>
      <c r="F167" s="110">
        <f>PR2_pozwolenie!F201</f>
        <v>146.5</v>
      </c>
      <c r="G167" s="144"/>
      <c r="H167" s="45"/>
      <c r="I167" s="45"/>
      <c r="J167" s="110">
        <v>46.3</v>
      </c>
      <c r="K167" s="121">
        <f>J167*F167</f>
        <v>6782.95</v>
      </c>
      <c r="L167" s="48"/>
      <c r="M167" s="48"/>
      <c r="N167" s="311">
        <v>38.14</v>
      </c>
      <c r="O167" s="321">
        <f t="shared" si="14"/>
        <v>1765.882</v>
      </c>
    </row>
    <row r="168" spans="1:15" s="13" customFormat="1" ht="69" customHeight="1" hidden="1">
      <c r="A168" s="119" t="s">
        <v>8</v>
      </c>
      <c r="B168" s="115"/>
      <c r="C168" s="138" t="s">
        <v>339</v>
      </c>
      <c r="D168" s="111" t="s">
        <v>200</v>
      </c>
      <c r="E168" s="107">
        <v>284.1</v>
      </c>
      <c r="F168" s="110" t="str">
        <f>PR2_pozwolenie!F202</f>
        <v>x</v>
      </c>
      <c r="G168" s="146"/>
      <c r="H168" s="43">
        <v>72.3</v>
      </c>
      <c r="I168" s="43" t="e">
        <f>H168*#REF!</f>
        <v>#REF!</v>
      </c>
      <c r="J168" s="110"/>
      <c r="K168" s="122"/>
      <c r="N168" s="315"/>
      <c r="O168" s="321">
        <f t="shared" si="14"/>
        <v>0</v>
      </c>
    </row>
    <row r="169" spans="1:15" s="8" customFormat="1" ht="19.5" customHeight="1">
      <c r="A169" s="119">
        <v>51</v>
      </c>
      <c r="B169" s="113" t="s">
        <v>1</v>
      </c>
      <c r="C169" s="139" t="s">
        <v>285</v>
      </c>
      <c r="D169" s="109" t="s">
        <v>199</v>
      </c>
      <c r="E169" s="110" t="s">
        <v>34</v>
      </c>
      <c r="F169" s="110">
        <f>PR2_pozwolenie!F203</f>
        <v>25</v>
      </c>
      <c r="G169" s="144"/>
      <c r="H169" s="45"/>
      <c r="I169" s="45"/>
      <c r="J169" s="110">
        <v>48.6</v>
      </c>
      <c r="K169" s="121">
        <f>J169*F169</f>
        <v>1215</v>
      </c>
      <c r="N169" s="311">
        <v>0</v>
      </c>
      <c r="O169" s="321">
        <f t="shared" si="14"/>
        <v>0</v>
      </c>
    </row>
    <row r="170" spans="1:15" s="8" customFormat="1" ht="59.25" customHeight="1" hidden="1">
      <c r="A170" s="119" t="s">
        <v>8</v>
      </c>
      <c r="B170" s="115"/>
      <c r="C170" s="138" t="s">
        <v>340</v>
      </c>
      <c r="D170" s="111" t="s">
        <v>200</v>
      </c>
      <c r="E170" s="107">
        <v>7.74</v>
      </c>
      <c r="F170" s="110" t="s">
        <v>34</v>
      </c>
      <c r="G170" s="144"/>
      <c r="H170" s="801"/>
      <c r="I170" s="801"/>
      <c r="J170" s="110"/>
      <c r="K170" s="209"/>
      <c r="N170" s="311"/>
      <c r="O170" s="321">
        <f t="shared" si="14"/>
        <v>0</v>
      </c>
    </row>
    <row r="171" spans="1:15" s="8" customFormat="1" ht="18" customHeight="1">
      <c r="A171" s="84" t="s">
        <v>34</v>
      </c>
      <c r="B171" s="85" t="s">
        <v>28</v>
      </c>
      <c r="C171" s="798" t="s">
        <v>29</v>
      </c>
      <c r="D171" s="799"/>
      <c r="E171" s="799"/>
      <c r="F171" s="799"/>
      <c r="G171" s="799"/>
      <c r="H171" s="799"/>
      <c r="I171" s="799"/>
      <c r="J171" s="799"/>
      <c r="K171" s="800"/>
      <c r="N171" s="311"/>
      <c r="O171" s="321">
        <f t="shared" si="14"/>
        <v>0</v>
      </c>
    </row>
    <row r="172" spans="1:15" s="8" customFormat="1" ht="17.25" customHeight="1">
      <c r="A172" s="119">
        <v>52</v>
      </c>
      <c r="B172" s="113" t="s">
        <v>2</v>
      </c>
      <c r="C172" s="139" t="s">
        <v>134</v>
      </c>
      <c r="D172" s="109" t="s">
        <v>11</v>
      </c>
      <c r="E172" s="110" t="s">
        <v>34</v>
      </c>
      <c r="F172" s="110">
        <f>PR2_pozwolenie!F206</f>
        <v>108.4</v>
      </c>
      <c r="G172" s="144"/>
      <c r="H172" s="187"/>
      <c r="I172" s="187"/>
      <c r="J172" s="110">
        <v>22.4</v>
      </c>
      <c r="K172" s="121">
        <f>J172*F172</f>
        <v>2428.16</v>
      </c>
      <c r="M172" s="125"/>
      <c r="N172" s="311">
        <v>22.75</v>
      </c>
      <c r="O172" s="321">
        <f t="shared" si="14"/>
        <v>509.6</v>
      </c>
    </row>
    <row r="173" spans="1:15" s="11" customFormat="1" ht="96" customHeight="1" hidden="1" thickBot="1">
      <c r="A173" s="188" t="s">
        <v>8</v>
      </c>
      <c r="B173" s="189"/>
      <c r="C173" s="190" t="s">
        <v>341</v>
      </c>
      <c r="D173" s="191" t="s">
        <v>11</v>
      </c>
      <c r="E173" s="192">
        <v>173.06</v>
      </c>
      <c r="F173" s="193" t="s">
        <v>34</v>
      </c>
      <c r="G173" s="10"/>
      <c r="H173" s="194">
        <v>78.42</v>
      </c>
      <c r="I173" s="194">
        <f>H173*F169</f>
        <v>1960.5</v>
      </c>
      <c r="J173" s="212"/>
      <c r="K173" s="269"/>
      <c r="N173" s="314"/>
      <c r="O173" s="325"/>
    </row>
    <row r="174" spans="1:15" s="11" customFormat="1" ht="25.5" customHeight="1" thickBot="1">
      <c r="A174" s="802" t="s">
        <v>443</v>
      </c>
      <c r="B174" s="803"/>
      <c r="C174" s="803"/>
      <c r="D174" s="803"/>
      <c r="E174" s="803"/>
      <c r="F174" s="803"/>
      <c r="G174" s="803"/>
      <c r="H174" s="803"/>
      <c r="I174" s="803"/>
      <c r="J174" s="804"/>
      <c r="K174" s="267">
        <f>K164+K167+K169+K172</f>
        <v>15865.11</v>
      </c>
      <c r="N174" s="314"/>
      <c r="O174" s="267">
        <f>O164+O167+O169+O172</f>
        <v>4331.76</v>
      </c>
    </row>
    <row r="175" spans="1:15" ht="25.5" customHeight="1">
      <c r="A175" s="808" t="s">
        <v>216</v>
      </c>
      <c r="B175" s="809"/>
      <c r="C175" s="809"/>
      <c r="D175" s="809"/>
      <c r="E175" s="809"/>
      <c r="F175" s="809"/>
      <c r="G175" s="809"/>
      <c r="H175" s="809"/>
      <c r="I175" s="809"/>
      <c r="J175" s="810"/>
      <c r="K175" s="260" t="e">
        <f>K14+K54+K64+K91+K122+K140+K151+K161+K174</f>
        <v>#REF!</v>
      </c>
      <c r="O175" s="260">
        <f>O14+O54+O64+O91+O122+O140+O151+O161+O174</f>
        <v>34712.27</v>
      </c>
    </row>
    <row r="176" spans="1:15" ht="25.5" customHeight="1">
      <c r="A176" s="811" t="s">
        <v>217</v>
      </c>
      <c r="B176" s="812"/>
      <c r="C176" s="812"/>
      <c r="D176" s="812"/>
      <c r="E176" s="812"/>
      <c r="F176" s="812"/>
      <c r="G176" s="812"/>
      <c r="H176" s="812"/>
      <c r="I176" s="812"/>
      <c r="J176" s="813"/>
      <c r="K176" s="261" t="e">
        <f>K177-K175</f>
        <v>#REF!</v>
      </c>
      <c r="O176" s="261">
        <f>O177-O175</f>
        <v>7983.82</v>
      </c>
    </row>
    <row r="177" spans="1:15" ht="25.5" customHeight="1" thickBot="1">
      <c r="A177" s="792" t="s">
        <v>218</v>
      </c>
      <c r="B177" s="793"/>
      <c r="C177" s="793"/>
      <c r="D177" s="793"/>
      <c r="E177" s="793"/>
      <c r="F177" s="793"/>
      <c r="G177" s="793"/>
      <c r="H177" s="793"/>
      <c r="I177" s="793"/>
      <c r="J177" s="794"/>
      <c r="K177" s="262" t="e">
        <f>K175*1.23</f>
        <v>#REF!</v>
      </c>
      <c r="O177" s="262">
        <f>O175*1.23</f>
        <v>42696.09</v>
      </c>
    </row>
    <row r="178" spans="6:10" ht="12.75">
      <c r="F178" s="155"/>
      <c r="G178" s="154"/>
      <c r="H178" s="154"/>
      <c r="I178" s="154"/>
      <c r="J178" s="155"/>
    </row>
    <row r="179" spans="6:10" ht="12.75">
      <c r="F179" s="155"/>
      <c r="G179" s="154"/>
      <c r="H179" s="154"/>
      <c r="I179" s="154"/>
      <c r="J179" s="155"/>
    </row>
    <row r="180" spans="6:10" ht="12.75">
      <c r="F180" s="155"/>
      <c r="G180" s="154"/>
      <c r="H180" s="154"/>
      <c r="I180" s="154"/>
      <c r="J180" s="155"/>
    </row>
    <row r="181" spans="6:10" ht="12.75">
      <c r="F181" s="155"/>
      <c r="G181" s="154"/>
      <c r="H181" s="154"/>
      <c r="I181" s="154"/>
      <c r="J181" s="155"/>
    </row>
    <row r="182" spans="6:10" ht="12.75">
      <c r="F182" s="155"/>
      <c r="G182" s="154"/>
      <c r="H182" s="154"/>
      <c r="I182" s="154"/>
      <c r="J182" s="155"/>
    </row>
    <row r="183" spans="6:10" ht="12.75">
      <c r="F183" s="155"/>
      <c r="G183" s="154"/>
      <c r="H183" s="154"/>
      <c r="I183" s="154"/>
      <c r="J183" s="155"/>
    </row>
    <row r="184" spans="6:10" ht="12.75">
      <c r="F184" s="155"/>
      <c r="G184" s="154"/>
      <c r="H184" s="154"/>
      <c r="I184" s="154"/>
      <c r="J184" s="155"/>
    </row>
    <row r="185" spans="6:10" ht="12.75">
      <c r="F185" s="155"/>
      <c r="G185" s="154"/>
      <c r="H185" s="154"/>
      <c r="I185" s="154"/>
      <c r="J185" s="155"/>
    </row>
    <row r="186" spans="6:10" ht="12.75">
      <c r="F186" s="155"/>
      <c r="G186" s="154"/>
      <c r="H186" s="154"/>
      <c r="I186" s="154"/>
      <c r="J186" s="155"/>
    </row>
    <row r="187" spans="6:10" ht="12.75">
      <c r="F187" s="155"/>
      <c r="G187" s="154"/>
      <c r="H187" s="154"/>
      <c r="I187" s="154"/>
      <c r="J187" s="155"/>
    </row>
    <row r="188" spans="6:10" ht="12.75">
      <c r="F188" s="155"/>
      <c r="G188" s="154"/>
      <c r="H188" s="154"/>
      <c r="I188" s="154"/>
      <c r="J188" s="155"/>
    </row>
    <row r="189" spans="6:10" ht="12.75">
      <c r="F189" s="155"/>
      <c r="G189" s="154"/>
      <c r="H189" s="154"/>
      <c r="I189" s="154"/>
      <c r="J189" s="155"/>
    </row>
    <row r="190" spans="6:10" ht="12.75">
      <c r="F190" s="155"/>
      <c r="G190" s="154"/>
      <c r="H190" s="154"/>
      <c r="I190" s="154"/>
      <c r="J190" s="155"/>
    </row>
    <row r="191" spans="6:10" ht="12.75">
      <c r="F191" s="155"/>
      <c r="G191" s="154"/>
      <c r="H191" s="154"/>
      <c r="I191" s="154"/>
      <c r="J191" s="155"/>
    </row>
    <row r="192" spans="6:10" ht="12.75">
      <c r="F192" s="155"/>
      <c r="G192" s="154"/>
      <c r="H192" s="154"/>
      <c r="I192" s="154"/>
      <c r="J192" s="155"/>
    </row>
    <row r="193" spans="6:10" ht="12.75">
      <c r="F193" s="155"/>
      <c r="G193" s="154"/>
      <c r="H193" s="154"/>
      <c r="I193" s="154"/>
      <c r="J193" s="155"/>
    </row>
    <row r="194" spans="6:10" ht="12.75">
      <c r="F194" s="155"/>
      <c r="G194" s="154"/>
      <c r="H194" s="154"/>
      <c r="I194" s="154"/>
      <c r="J194" s="155"/>
    </row>
    <row r="195" spans="6:10" ht="12.75">
      <c r="F195" s="155"/>
      <c r="G195" s="154"/>
      <c r="H195" s="154"/>
      <c r="I195" s="154"/>
      <c r="J195" s="155"/>
    </row>
    <row r="196" spans="6:10" ht="12.75">
      <c r="F196" s="155"/>
      <c r="G196" s="154"/>
      <c r="H196" s="154"/>
      <c r="I196" s="154"/>
      <c r="J196" s="155"/>
    </row>
    <row r="197" spans="6:10" ht="12.75">
      <c r="F197" s="155"/>
      <c r="G197" s="154"/>
      <c r="H197" s="154"/>
      <c r="I197" s="154"/>
      <c r="J197" s="155"/>
    </row>
    <row r="198" spans="6:10" ht="12.75">
      <c r="F198" s="155"/>
      <c r="G198" s="154"/>
      <c r="H198" s="154"/>
      <c r="I198" s="154"/>
      <c r="J198" s="155"/>
    </row>
    <row r="199" spans="6:10" ht="12.75">
      <c r="F199" s="155"/>
      <c r="G199" s="154"/>
      <c r="H199" s="154"/>
      <c r="I199" s="154"/>
      <c r="J199" s="155"/>
    </row>
    <row r="293" ht="12.75"/>
    <row r="294" ht="12.75"/>
    <row r="295" ht="12.75"/>
  </sheetData>
  <sheetProtection/>
  <mergeCells count="57">
    <mergeCell ref="H143:I143"/>
    <mergeCell ref="C142:K142"/>
    <mergeCell ref="H130:I130"/>
    <mergeCell ref="C124:K124"/>
    <mergeCell ref="H102:I102"/>
    <mergeCell ref="C66:K66"/>
    <mergeCell ref="C113:K113"/>
    <mergeCell ref="C116:K116"/>
    <mergeCell ref="C73:K73"/>
    <mergeCell ref="C92:K92"/>
    <mergeCell ref="C25:K25"/>
    <mergeCell ref="C99:K99"/>
    <mergeCell ref="A54:J54"/>
    <mergeCell ref="A64:J64"/>
    <mergeCell ref="C123:K123"/>
    <mergeCell ref="C55:K55"/>
    <mergeCell ref="C56:K56"/>
    <mergeCell ref="H109:I109"/>
    <mergeCell ref="C108:K108"/>
    <mergeCell ref="C76:K76"/>
    <mergeCell ref="C93:K93"/>
    <mergeCell ref="C96:K96"/>
    <mergeCell ref="C61:K61"/>
    <mergeCell ref="A122:J122"/>
    <mergeCell ref="A91:J91"/>
    <mergeCell ref="C65:K65"/>
    <mergeCell ref="A1:K1"/>
    <mergeCell ref="A2:K2"/>
    <mergeCell ref="B4:K4"/>
    <mergeCell ref="C5:K5"/>
    <mergeCell ref="C6:K6"/>
    <mergeCell ref="A151:J151"/>
    <mergeCell ref="B15:K15"/>
    <mergeCell ref="A14:J14"/>
    <mergeCell ref="C119:K119"/>
    <mergeCell ref="A161:J161"/>
    <mergeCell ref="C141:K141"/>
    <mergeCell ref="C127:K127"/>
    <mergeCell ref="C148:K148"/>
    <mergeCell ref="C153:K153"/>
    <mergeCell ref="C152:K152"/>
    <mergeCell ref="C136:K136"/>
    <mergeCell ref="C138:K138"/>
    <mergeCell ref="A140:J140"/>
    <mergeCell ref="C16:K16"/>
    <mergeCell ref="C17:K17"/>
    <mergeCell ref="C20:K20"/>
    <mergeCell ref="A177:J177"/>
    <mergeCell ref="C162:K162"/>
    <mergeCell ref="A174:J174"/>
    <mergeCell ref="C171:K171"/>
    <mergeCell ref="C158:K158"/>
    <mergeCell ref="A175:J175"/>
    <mergeCell ref="A176:J176"/>
    <mergeCell ref="H170:I170"/>
    <mergeCell ref="C163:K163"/>
    <mergeCell ref="C166:K166"/>
  </mergeCells>
  <printOptions gridLines="1" horizontalCentered="1"/>
  <pageMargins left="0.4724409448818898" right="0.2755905511811024" top="0.3937007874015748" bottom="0.31496062992125984" header="0.2362204724409449" footer="0.15748031496062992"/>
  <pageSetup fitToHeight="0" fitToWidth="1" horizontalDpi="600" verticalDpi="600" orientation="portrait" paperSize="9" scale="70" r:id="rId3"/>
  <rowBreaks count="1" manualBreakCount="1">
    <brk id="76" max="10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Y195"/>
  <sheetViews>
    <sheetView view="pageBreakPreview" zoomScaleSheetLayoutView="100" zoomScalePageLayoutView="0" workbookViewId="0" topLeftCell="A166">
      <selection activeCell="A190" sqref="A190:H192"/>
    </sheetView>
  </sheetViews>
  <sheetFormatPr defaultColWidth="9.125" defaultRowHeight="12.75"/>
  <cols>
    <col min="1" max="1" width="10.375" style="21" customWidth="1"/>
    <col min="2" max="2" width="15.50390625" style="49" customWidth="1"/>
    <col min="3" max="3" width="65.625" style="52" customWidth="1"/>
    <col min="4" max="4" width="10.50390625" style="53" customWidth="1"/>
    <col min="5" max="5" width="9.625" style="22" hidden="1" customWidth="1"/>
    <col min="6" max="6" width="9.625" style="504" customWidth="1"/>
    <col min="7" max="7" width="14.50390625" style="22" customWidth="1"/>
    <col min="8" max="8" width="19.875" style="514" customWidth="1"/>
    <col min="9" max="9" width="13.00390625" style="24" hidden="1" customWidth="1"/>
    <col min="10" max="10" width="6.125" style="49" hidden="1" customWidth="1"/>
    <col min="11" max="11" width="12.125" style="49" hidden="1" customWidth="1"/>
    <col min="12" max="12" width="13.00390625" style="49" hidden="1" customWidth="1"/>
    <col min="13" max="13" width="9.125" style="49" customWidth="1"/>
    <col min="14" max="14" width="13.50390625" style="49" bestFit="1" customWidth="1"/>
    <col min="15" max="16384" width="9.125" style="49" customWidth="1"/>
  </cols>
  <sheetData>
    <row r="1" spans="1:12" s="4" customFormat="1" ht="31.5" customHeight="1">
      <c r="A1" s="854" t="s">
        <v>72</v>
      </c>
      <c r="B1" s="855"/>
      <c r="C1" s="855"/>
      <c r="D1" s="855"/>
      <c r="E1" s="855"/>
      <c r="F1" s="855"/>
      <c r="G1" s="855"/>
      <c r="H1" s="855"/>
      <c r="I1" s="855"/>
      <c r="J1" s="492"/>
      <c r="K1" s="853"/>
      <c r="L1" s="853"/>
    </row>
    <row r="2" spans="1:14" s="4" customFormat="1" ht="52.5" customHeight="1">
      <c r="A2" s="834" t="s">
        <v>819</v>
      </c>
      <c r="B2" s="834"/>
      <c r="C2" s="834"/>
      <c r="D2" s="834"/>
      <c r="E2" s="834"/>
      <c r="F2" s="834"/>
      <c r="G2" s="834"/>
      <c r="H2" s="834"/>
      <c r="I2" s="834"/>
      <c r="J2" s="100"/>
      <c r="K2" s="849"/>
      <c r="L2" s="849"/>
      <c r="M2" s="6"/>
      <c r="N2" s="6"/>
    </row>
    <row r="3" spans="1:13" ht="45" customHeight="1">
      <c r="A3" s="97" t="s">
        <v>3</v>
      </c>
      <c r="B3" s="98" t="s">
        <v>228</v>
      </c>
      <c r="C3" s="97" t="s">
        <v>215</v>
      </c>
      <c r="D3" s="97" t="s">
        <v>5</v>
      </c>
      <c r="E3" s="26" t="s">
        <v>6</v>
      </c>
      <c r="F3" s="496" t="str">
        <f>I3</f>
        <v>Ilośc jednostek</v>
      </c>
      <c r="G3" s="26" t="s">
        <v>70</v>
      </c>
      <c r="H3" s="505" t="s">
        <v>71</v>
      </c>
      <c r="I3" s="130" t="s">
        <v>799</v>
      </c>
      <c r="J3" s="130"/>
      <c r="K3" s="26" t="s">
        <v>70</v>
      </c>
      <c r="L3" s="26" t="s">
        <v>71</v>
      </c>
      <c r="M3" s="523"/>
    </row>
    <row r="4" spans="1:13" ht="19.5" customHeight="1">
      <c r="A4" s="490" t="s">
        <v>33</v>
      </c>
      <c r="B4" s="847" t="s">
        <v>140</v>
      </c>
      <c r="C4" s="852"/>
      <c r="D4" s="852"/>
      <c r="E4" s="852"/>
      <c r="F4" s="852"/>
      <c r="G4" s="852"/>
      <c r="H4" s="852"/>
      <c r="I4" s="852"/>
      <c r="J4" s="130"/>
      <c r="K4" s="853"/>
      <c r="L4" s="853"/>
      <c r="M4" s="523"/>
    </row>
    <row r="5" spans="1:13" ht="26.25" customHeight="1">
      <c r="A5" s="25" t="s">
        <v>58</v>
      </c>
      <c r="B5" s="25" t="s">
        <v>73</v>
      </c>
      <c r="C5" s="848" t="s">
        <v>50</v>
      </c>
      <c r="D5" s="848"/>
      <c r="E5" s="848"/>
      <c r="F5" s="848"/>
      <c r="G5" s="848"/>
      <c r="H5" s="848"/>
      <c r="I5" s="848"/>
      <c r="J5" s="130"/>
      <c r="K5" s="849"/>
      <c r="L5" s="849"/>
      <c r="M5" s="523"/>
    </row>
    <row r="6" spans="1:13" ht="18.75" customHeight="1">
      <c r="A6" s="85" t="s">
        <v>34</v>
      </c>
      <c r="B6" s="85" t="s">
        <v>69</v>
      </c>
      <c r="C6" s="814" t="s">
        <v>109</v>
      </c>
      <c r="D6" s="814"/>
      <c r="E6" s="814"/>
      <c r="F6" s="814"/>
      <c r="G6" s="814"/>
      <c r="H6" s="814"/>
      <c r="I6" s="814"/>
      <c r="J6" s="130"/>
      <c r="K6" s="132"/>
      <c r="L6" s="132"/>
      <c r="M6" s="523"/>
    </row>
    <row r="7" spans="1:14" ht="18.75" customHeight="1">
      <c r="A7" s="97" t="s">
        <v>110</v>
      </c>
      <c r="B7" s="87" t="str">
        <f aca="true" t="shared" si="0" ref="B7:B13">B6</f>
        <v>00.00.00</v>
      </c>
      <c r="C7" s="340" t="s">
        <v>143</v>
      </c>
      <c r="D7" s="106" t="s">
        <v>446</v>
      </c>
      <c r="E7" s="341">
        <v>1</v>
      </c>
      <c r="F7" s="496">
        <f>I7</f>
        <v>1</v>
      </c>
      <c r="G7" s="341">
        <v>2000</v>
      </c>
      <c r="H7" s="505">
        <f>G7*F7</f>
        <v>2000</v>
      </c>
      <c r="I7" s="341">
        <f aca="true" t="shared" si="1" ref="I7:I13">E7</f>
        <v>1</v>
      </c>
      <c r="J7" s="130"/>
      <c r="K7" s="132"/>
      <c r="L7" s="132"/>
      <c r="M7" s="523"/>
      <c r="N7" s="516">
        <f>H7</f>
        <v>2000</v>
      </c>
    </row>
    <row r="8" spans="1:14" ht="40.5" customHeight="1">
      <c r="A8" s="97" t="s">
        <v>111</v>
      </c>
      <c r="B8" s="87" t="str">
        <f t="shared" si="0"/>
        <v>00.00.00</v>
      </c>
      <c r="C8" s="340" t="s">
        <v>197</v>
      </c>
      <c r="D8" s="106" t="s">
        <v>446</v>
      </c>
      <c r="E8" s="341">
        <v>1</v>
      </c>
      <c r="F8" s="496">
        <f>I8</f>
        <v>1</v>
      </c>
      <c r="G8" s="341">
        <v>800</v>
      </c>
      <c r="H8" s="505">
        <f>G8*F8</f>
        <v>800</v>
      </c>
      <c r="I8" s="341">
        <f t="shared" si="1"/>
        <v>1</v>
      </c>
      <c r="J8" s="130"/>
      <c r="K8" s="132"/>
      <c r="L8" s="132"/>
      <c r="M8" s="523"/>
      <c r="N8" s="516">
        <f aca="true" t="shared" si="2" ref="N8:N65">H8</f>
        <v>800</v>
      </c>
    </row>
    <row r="9" spans="1:14" ht="28.5" customHeight="1">
      <c r="A9" s="97" t="s">
        <v>112</v>
      </c>
      <c r="B9" s="87" t="str">
        <f t="shared" si="0"/>
        <v>00.00.00</v>
      </c>
      <c r="C9" s="88" t="s">
        <v>550</v>
      </c>
      <c r="D9" s="131" t="s">
        <v>446</v>
      </c>
      <c r="E9" s="89">
        <v>1</v>
      </c>
      <c r="F9" s="89"/>
      <c r="G9" s="89"/>
      <c r="H9" s="506"/>
      <c r="I9" s="89">
        <f t="shared" si="1"/>
        <v>1</v>
      </c>
      <c r="J9" s="130"/>
      <c r="K9" s="132"/>
      <c r="L9" s="132"/>
      <c r="M9" s="523"/>
      <c r="N9" s="516">
        <f t="shared" si="2"/>
        <v>0</v>
      </c>
    </row>
    <row r="10" spans="1:14" ht="38.25" customHeight="1">
      <c r="A10" s="97" t="s">
        <v>113</v>
      </c>
      <c r="B10" s="87" t="str">
        <f t="shared" si="0"/>
        <v>00.00.00</v>
      </c>
      <c r="C10" s="88" t="s">
        <v>230</v>
      </c>
      <c r="D10" s="131" t="s">
        <v>446</v>
      </c>
      <c r="E10" s="89">
        <v>1</v>
      </c>
      <c r="F10" s="89"/>
      <c r="G10" s="89"/>
      <c r="H10" s="506"/>
      <c r="I10" s="89">
        <f t="shared" si="1"/>
        <v>1</v>
      </c>
      <c r="J10" s="130"/>
      <c r="K10" s="132"/>
      <c r="L10" s="132"/>
      <c r="M10" s="523"/>
      <c r="N10" s="516">
        <f t="shared" si="2"/>
        <v>0</v>
      </c>
    </row>
    <row r="11" spans="1:14" ht="28.5" customHeight="1">
      <c r="A11" s="97" t="s">
        <v>114</v>
      </c>
      <c r="B11" s="87" t="str">
        <f>B10</f>
        <v>00.00.00</v>
      </c>
      <c r="C11" s="88" t="s">
        <v>448</v>
      </c>
      <c r="D11" s="131" t="s">
        <v>446</v>
      </c>
      <c r="E11" s="89">
        <v>1</v>
      </c>
      <c r="F11" s="89"/>
      <c r="G11" s="89"/>
      <c r="H11" s="506"/>
      <c r="I11" s="89">
        <f t="shared" si="1"/>
        <v>1</v>
      </c>
      <c r="J11" s="130"/>
      <c r="K11" s="132"/>
      <c r="L11" s="132"/>
      <c r="M11" s="523"/>
      <c r="N11" s="516">
        <f t="shared" si="2"/>
        <v>0</v>
      </c>
    </row>
    <row r="12" spans="1:14" ht="28.5" customHeight="1">
      <c r="A12" s="97" t="s">
        <v>115</v>
      </c>
      <c r="B12" s="87" t="str">
        <f t="shared" si="0"/>
        <v>00.00.00</v>
      </c>
      <c r="C12" s="88" t="s">
        <v>450</v>
      </c>
      <c r="D12" s="131" t="s">
        <v>446</v>
      </c>
      <c r="E12" s="89">
        <v>1</v>
      </c>
      <c r="F12" s="89"/>
      <c r="G12" s="89"/>
      <c r="H12" s="506"/>
      <c r="I12" s="89">
        <f t="shared" si="1"/>
        <v>1</v>
      </c>
      <c r="J12" s="130"/>
      <c r="K12" s="132"/>
      <c r="L12" s="132"/>
      <c r="M12" s="523"/>
      <c r="N12" s="516">
        <f t="shared" si="2"/>
        <v>0</v>
      </c>
    </row>
    <row r="13" spans="1:14" ht="69.75" customHeight="1">
      <c r="A13" s="97" t="s">
        <v>115</v>
      </c>
      <c r="B13" s="87" t="str">
        <f t="shared" si="0"/>
        <v>00.00.00</v>
      </c>
      <c r="C13" s="88" t="s">
        <v>551</v>
      </c>
      <c r="D13" s="131" t="s">
        <v>446</v>
      </c>
      <c r="E13" s="89">
        <v>1</v>
      </c>
      <c r="F13" s="89"/>
      <c r="G13" s="89"/>
      <c r="H13" s="506"/>
      <c r="I13" s="89">
        <f t="shared" si="1"/>
        <v>1</v>
      </c>
      <c r="J13" s="130"/>
      <c r="K13" s="132"/>
      <c r="L13" s="132"/>
      <c r="M13" s="523"/>
      <c r="N13" s="516">
        <f t="shared" si="2"/>
        <v>0</v>
      </c>
    </row>
    <row r="14" spans="1:14" ht="24.75" customHeight="1">
      <c r="A14" s="844" t="s">
        <v>803</v>
      </c>
      <c r="B14" s="844"/>
      <c r="C14" s="844"/>
      <c r="D14" s="844"/>
      <c r="E14" s="844"/>
      <c r="F14" s="844"/>
      <c r="G14" s="844"/>
      <c r="H14" s="529">
        <f>H8+H7</f>
        <v>2800</v>
      </c>
      <c r="I14" s="530">
        <f>SUM(I5:I13)</f>
        <v>7</v>
      </c>
      <c r="J14" s="130"/>
      <c r="K14" s="132"/>
      <c r="L14" s="132"/>
      <c r="M14" s="523"/>
      <c r="N14" s="516"/>
    </row>
    <row r="15" spans="1:14" ht="21.75" customHeight="1">
      <c r="A15" s="846" t="s">
        <v>800</v>
      </c>
      <c r="B15" s="846"/>
      <c r="C15" s="846"/>
      <c r="D15" s="846"/>
      <c r="E15" s="846"/>
      <c r="F15" s="846"/>
      <c r="G15" s="846"/>
      <c r="H15" s="531">
        <f>H14</f>
        <v>2800</v>
      </c>
      <c r="I15" s="532">
        <f>I14</f>
        <v>7</v>
      </c>
      <c r="J15" s="130"/>
      <c r="K15" s="132"/>
      <c r="L15" s="132"/>
      <c r="M15" s="523"/>
      <c r="N15" s="516"/>
    </row>
    <row r="16" spans="1:14" ht="20.25" customHeight="1">
      <c r="A16" s="490" t="s">
        <v>38</v>
      </c>
      <c r="B16" s="847" t="s">
        <v>713</v>
      </c>
      <c r="C16" s="852"/>
      <c r="D16" s="852"/>
      <c r="E16" s="852"/>
      <c r="F16" s="852"/>
      <c r="G16" s="852"/>
      <c r="H16" s="852"/>
      <c r="I16" s="852"/>
      <c r="J16" s="130"/>
      <c r="K16" s="853"/>
      <c r="L16" s="853"/>
      <c r="M16" s="523"/>
      <c r="N16" s="516">
        <f t="shared" si="2"/>
        <v>0</v>
      </c>
    </row>
    <row r="17" spans="1:14" s="1" customFormat="1" ht="27" customHeight="1">
      <c r="A17" s="25" t="s">
        <v>60</v>
      </c>
      <c r="B17" s="25" t="s">
        <v>59</v>
      </c>
      <c r="C17" s="848" t="s">
        <v>198</v>
      </c>
      <c r="D17" s="848"/>
      <c r="E17" s="848"/>
      <c r="F17" s="848"/>
      <c r="G17" s="848"/>
      <c r="H17" s="848"/>
      <c r="I17" s="848"/>
      <c r="J17" s="133"/>
      <c r="K17" s="849"/>
      <c r="L17" s="849"/>
      <c r="N17" s="516">
        <f t="shared" si="2"/>
        <v>0</v>
      </c>
    </row>
    <row r="18" spans="1:14" ht="18" customHeight="1" hidden="1">
      <c r="A18" s="85" t="s">
        <v>34</v>
      </c>
      <c r="B18" s="96" t="s">
        <v>13</v>
      </c>
      <c r="C18" s="814" t="s">
        <v>116</v>
      </c>
      <c r="D18" s="814"/>
      <c r="E18" s="850"/>
      <c r="F18" s="850"/>
      <c r="G18" s="850"/>
      <c r="H18" s="850"/>
      <c r="I18" s="850"/>
      <c r="J18" s="130"/>
      <c r="K18" s="801"/>
      <c r="L18" s="801"/>
      <c r="M18" s="523"/>
      <c r="N18" s="516">
        <f t="shared" si="2"/>
        <v>0</v>
      </c>
    </row>
    <row r="19" spans="1:14" s="14" customFormat="1" ht="18.75" customHeight="1" hidden="1">
      <c r="A19" s="97">
        <v>2</v>
      </c>
      <c r="B19" s="98" t="s">
        <v>145</v>
      </c>
      <c r="C19" s="99" t="s">
        <v>232</v>
      </c>
      <c r="D19" s="97" t="s">
        <v>223</v>
      </c>
      <c r="E19" s="101" t="s">
        <v>34</v>
      </c>
      <c r="F19" s="497"/>
      <c r="G19" s="101"/>
      <c r="H19" s="507"/>
      <c r="I19" s="101">
        <f>SUM(E20:E20)</f>
        <v>0.4</v>
      </c>
      <c r="J19" s="342"/>
      <c r="K19" s="43">
        <v>3524.44</v>
      </c>
      <c r="L19" s="43">
        <f>K19*I19</f>
        <v>1409.78</v>
      </c>
      <c r="M19" s="524"/>
      <c r="N19" s="516">
        <f t="shared" si="2"/>
        <v>0</v>
      </c>
    </row>
    <row r="20" spans="1:14" ht="71.25" customHeight="1" hidden="1">
      <c r="A20" s="97"/>
      <c r="B20" s="102"/>
      <c r="C20" s="103" t="s">
        <v>653</v>
      </c>
      <c r="D20" s="104" t="s">
        <v>223</v>
      </c>
      <c r="E20" s="105">
        <f>(205+(452-257))/1000</f>
        <v>0.4</v>
      </c>
      <c r="F20" s="498"/>
      <c r="G20" s="105"/>
      <c r="H20" s="508"/>
      <c r="I20" s="106" t="s">
        <v>34</v>
      </c>
      <c r="J20" s="130"/>
      <c r="K20" s="43"/>
      <c r="L20" s="43"/>
      <c r="M20" s="523"/>
      <c r="N20" s="516">
        <f t="shared" si="2"/>
        <v>0</v>
      </c>
    </row>
    <row r="21" spans="1:14" ht="16.5" customHeight="1" hidden="1">
      <c r="A21" s="85" t="s">
        <v>34</v>
      </c>
      <c r="B21" s="432" t="s">
        <v>552</v>
      </c>
      <c r="C21" s="814" t="s">
        <v>553</v>
      </c>
      <c r="D21" s="814"/>
      <c r="E21" s="850"/>
      <c r="F21" s="850"/>
      <c r="G21" s="850"/>
      <c r="H21" s="850"/>
      <c r="I21" s="850"/>
      <c r="J21" s="130"/>
      <c r="K21" s="43"/>
      <c r="L21" s="43"/>
      <c r="M21" s="523"/>
      <c r="N21" s="516">
        <f t="shared" si="2"/>
        <v>0</v>
      </c>
    </row>
    <row r="22" spans="1:14" ht="19.5" customHeight="1" hidden="1">
      <c r="A22" s="97">
        <v>3</v>
      </c>
      <c r="B22" s="98" t="s">
        <v>555</v>
      </c>
      <c r="C22" s="99" t="s">
        <v>554</v>
      </c>
      <c r="D22" s="97" t="s">
        <v>12</v>
      </c>
      <c r="E22" s="101" t="s">
        <v>34</v>
      </c>
      <c r="F22" s="497"/>
      <c r="G22" s="101"/>
      <c r="H22" s="507"/>
      <c r="I22" s="101">
        <f>SUM(E23:E23)</f>
        <v>6</v>
      </c>
      <c r="J22" s="130"/>
      <c r="K22" s="43"/>
      <c r="L22" s="43"/>
      <c r="M22" s="523"/>
      <c r="N22" s="516">
        <f t="shared" si="2"/>
        <v>0</v>
      </c>
    </row>
    <row r="23" spans="1:14" ht="64.5" customHeight="1" hidden="1">
      <c r="A23" s="97"/>
      <c r="B23" s="102"/>
      <c r="C23" s="103" t="s">
        <v>558</v>
      </c>
      <c r="D23" s="104" t="s">
        <v>12</v>
      </c>
      <c r="E23" s="105">
        <v>6</v>
      </c>
      <c r="F23" s="498"/>
      <c r="G23" s="105"/>
      <c r="H23" s="508"/>
      <c r="I23" s="106" t="s">
        <v>34</v>
      </c>
      <c r="J23" s="130"/>
      <c r="K23" s="43"/>
      <c r="L23" s="43"/>
      <c r="M23" s="523"/>
      <c r="N23" s="516">
        <f t="shared" si="2"/>
        <v>0</v>
      </c>
    </row>
    <row r="24" spans="1:14" ht="19.5" customHeight="1" hidden="1">
      <c r="A24" s="97">
        <v>4</v>
      </c>
      <c r="B24" s="98" t="s">
        <v>556</v>
      </c>
      <c r="C24" s="99" t="s">
        <v>557</v>
      </c>
      <c r="D24" s="97" t="s">
        <v>199</v>
      </c>
      <c r="E24" s="101" t="s">
        <v>34</v>
      </c>
      <c r="F24" s="497"/>
      <c r="G24" s="101"/>
      <c r="H24" s="507"/>
      <c r="I24" s="101">
        <f>SUM(E25:E25)</f>
        <v>12</v>
      </c>
      <c r="J24" s="130"/>
      <c r="K24" s="43"/>
      <c r="L24" s="43"/>
      <c r="M24" s="523"/>
      <c r="N24" s="516">
        <f t="shared" si="2"/>
        <v>0</v>
      </c>
    </row>
    <row r="25" spans="1:14" ht="60.75" customHeight="1" hidden="1">
      <c r="A25" s="97"/>
      <c r="B25" s="102"/>
      <c r="C25" s="103" t="s">
        <v>559</v>
      </c>
      <c r="D25" s="104" t="s">
        <v>200</v>
      </c>
      <c r="E25" s="105">
        <v>12</v>
      </c>
      <c r="F25" s="498"/>
      <c r="G25" s="105"/>
      <c r="H25" s="508"/>
      <c r="I25" s="106" t="s">
        <v>34</v>
      </c>
      <c r="J25" s="130"/>
      <c r="K25" s="43"/>
      <c r="L25" s="43"/>
      <c r="M25" s="523"/>
      <c r="N25" s="516">
        <f t="shared" si="2"/>
        <v>0</v>
      </c>
    </row>
    <row r="26" spans="1:14" ht="18" customHeight="1" hidden="1">
      <c r="A26" s="85" t="s">
        <v>34</v>
      </c>
      <c r="B26" s="85" t="s">
        <v>14</v>
      </c>
      <c r="C26" s="814" t="s">
        <v>117</v>
      </c>
      <c r="D26" s="814"/>
      <c r="E26" s="814"/>
      <c r="F26" s="814"/>
      <c r="G26" s="814"/>
      <c r="H26" s="814"/>
      <c r="I26" s="814"/>
      <c r="J26" s="130"/>
      <c r="K26" s="801"/>
      <c r="L26" s="801"/>
      <c r="M26" s="523"/>
      <c r="N26" s="516">
        <f t="shared" si="2"/>
        <v>0</v>
      </c>
    </row>
    <row r="27" spans="1:14" s="14" customFormat="1" ht="28.5" customHeight="1" hidden="1">
      <c r="A27" s="97">
        <v>5</v>
      </c>
      <c r="B27" s="98" t="s">
        <v>562</v>
      </c>
      <c r="C27" s="99" t="s">
        <v>561</v>
      </c>
      <c r="D27" s="97" t="s">
        <v>199</v>
      </c>
      <c r="E27" s="101" t="s">
        <v>34</v>
      </c>
      <c r="F27" s="497"/>
      <c r="G27" s="101"/>
      <c r="H27" s="507"/>
      <c r="I27" s="101">
        <f>E28</f>
        <v>1400</v>
      </c>
      <c r="J27" s="133"/>
      <c r="K27" s="43">
        <v>0.48</v>
      </c>
      <c r="L27" s="43">
        <f>K27*I27</f>
        <v>672</v>
      </c>
      <c r="M27" s="524"/>
      <c r="N27" s="516">
        <f t="shared" si="2"/>
        <v>0</v>
      </c>
    </row>
    <row r="28" spans="1:14" ht="68.25" customHeight="1" hidden="1">
      <c r="A28" s="97"/>
      <c r="B28" s="102"/>
      <c r="C28" s="103" t="s">
        <v>563</v>
      </c>
      <c r="D28" s="104" t="s">
        <v>200</v>
      </c>
      <c r="E28" s="105">
        <f>(205+(452-257))*3.5</f>
        <v>1400</v>
      </c>
      <c r="F28" s="498"/>
      <c r="G28" s="105"/>
      <c r="H28" s="508"/>
      <c r="I28" s="105" t="s">
        <v>34</v>
      </c>
      <c r="J28" s="130"/>
      <c r="K28" s="43"/>
      <c r="L28" s="43"/>
      <c r="M28" s="523"/>
      <c r="N28" s="516">
        <f t="shared" si="2"/>
        <v>0</v>
      </c>
    </row>
    <row r="29" spans="1:15" ht="31.5" customHeight="1" hidden="1">
      <c r="A29" s="97">
        <v>5</v>
      </c>
      <c r="B29" s="98" t="s">
        <v>295</v>
      </c>
      <c r="C29" s="99" t="s">
        <v>565</v>
      </c>
      <c r="D29" s="97" t="s">
        <v>199</v>
      </c>
      <c r="E29" s="101" t="s">
        <v>34</v>
      </c>
      <c r="F29" s="497"/>
      <c r="G29" s="101"/>
      <c r="H29" s="507"/>
      <c r="I29" s="101">
        <f>E30</f>
        <v>0</v>
      </c>
      <c r="J29" s="130"/>
      <c r="K29" s="43"/>
      <c r="L29" s="43"/>
      <c r="M29" s="523"/>
      <c r="N29" s="516">
        <f t="shared" si="2"/>
        <v>0</v>
      </c>
      <c r="O29" s="391"/>
    </row>
    <row r="30" spans="1:14" ht="61.5" customHeight="1" hidden="1">
      <c r="A30" s="97"/>
      <c r="B30" s="102"/>
      <c r="C30" s="103" t="s">
        <v>566</v>
      </c>
      <c r="D30" s="104" t="s">
        <v>200</v>
      </c>
      <c r="E30" s="105">
        <v>0</v>
      </c>
      <c r="F30" s="542"/>
      <c r="G30" s="105"/>
      <c r="H30" s="508"/>
      <c r="I30" s="105" t="s">
        <v>34</v>
      </c>
      <c r="J30" s="130"/>
      <c r="K30" s="43"/>
      <c r="L30" s="43"/>
      <c r="M30" s="523"/>
      <c r="N30" s="516">
        <f t="shared" si="2"/>
        <v>0</v>
      </c>
    </row>
    <row r="31" spans="1:14" ht="54" customHeight="1">
      <c r="A31" s="85" t="s">
        <v>34</v>
      </c>
      <c r="B31" s="85" t="s">
        <v>15</v>
      </c>
      <c r="C31" s="814" t="s">
        <v>820</v>
      </c>
      <c r="D31" s="814"/>
      <c r="E31" s="851"/>
      <c r="F31" s="814"/>
      <c r="G31" s="814"/>
      <c r="H31" s="814"/>
      <c r="I31" s="814"/>
      <c r="J31" s="130"/>
      <c r="K31" s="801"/>
      <c r="L31" s="801"/>
      <c r="M31" s="523"/>
      <c r="N31" s="516">
        <f t="shared" si="2"/>
        <v>0</v>
      </c>
    </row>
    <row r="32" spans="1:14" ht="18" customHeight="1">
      <c r="A32" s="97">
        <v>2</v>
      </c>
      <c r="B32" s="98" t="s">
        <v>30</v>
      </c>
      <c r="C32" s="99" t="s">
        <v>821</v>
      </c>
      <c r="D32" s="97" t="s">
        <v>199</v>
      </c>
      <c r="E32" s="101" t="s">
        <v>34</v>
      </c>
      <c r="F32" s="496">
        <f aca="true" t="shared" si="3" ref="F32:F53">I32</f>
        <v>624.29</v>
      </c>
      <c r="G32" s="101">
        <v>12.5</v>
      </c>
      <c r="H32" s="507">
        <f>G32*F32</f>
        <v>7803.63</v>
      </c>
      <c r="I32" s="101">
        <f>SUM(E33)</f>
        <v>624.29</v>
      </c>
      <c r="J32" s="130"/>
      <c r="K32" s="489"/>
      <c r="L32" s="546"/>
      <c r="M32" s="548"/>
      <c r="N32" s="516">
        <f t="shared" si="2"/>
        <v>7803.63</v>
      </c>
    </row>
    <row r="33" spans="1:14" ht="72.75" customHeight="1" hidden="1">
      <c r="A33" s="97"/>
      <c r="B33" s="102"/>
      <c r="C33" s="103" t="s">
        <v>765</v>
      </c>
      <c r="D33" s="104" t="s">
        <v>200</v>
      </c>
      <c r="E33" s="105">
        <f>583.45*1.07</f>
        <v>624.29</v>
      </c>
      <c r="F33" s="496" t="str">
        <f t="shared" si="3"/>
        <v>x</v>
      </c>
      <c r="G33" s="105"/>
      <c r="H33" s="508"/>
      <c r="I33" s="105" t="s">
        <v>34</v>
      </c>
      <c r="J33" s="130"/>
      <c r="K33" s="461"/>
      <c r="L33" s="461"/>
      <c r="M33" s="523"/>
      <c r="N33" s="516">
        <f t="shared" si="2"/>
        <v>0</v>
      </c>
    </row>
    <row r="34" spans="1:14" ht="66" hidden="1">
      <c r="A34" s="493" t="s">
        <v>35</v>
      </c>
      <c r="B34" s="94" t="str">
        <f>B32</f>
        <v>01.02.04.11</v>
      </c>
      <c r="C34" s="90" t="s">
        <v>766</v>
      </c>
      <c r="D34" s="91" t="s">
        <v>201</v>
      </c>
      <c r="E34" s="92">
        <f>E33*0.2</f>
        <v>124.86</v>
      </c>
      <c r="F34" s="496">
        <f t="shared" si="3"/>
        <v>124.86</v>
      </c>
      <c r="G34" s="92"/>
      <c r="H34" s="506"/>
      <c r="I34" s="92">
        <f>E34</f>
        <v>124.86</v>
      </c>
      <c r="J34" s="130"/>
      <c r="K34" s="461"/>
      <c r="L34" s="461"/>
      <c r="M34" s="523"/>
      <c r="N34" s="516">
        <f t="shared" si="2"/>
        <v>0</v>
      </c>
    </row>
    <row r="35" spans="1:14" s="14" customFormat="1" ht="19.5" customHeight="1" hidden="1">
      <c r="A35" s="97">
        <v>7</v>
      </c>
      <c r="B35" s="98" t="s">
        <v>119</v>
      </c>
      <c r="C35" s="99" t="s">
        <v>572</v>
      </c>
      <c r="D35" s="97" t="s">
        <v>199</v>
      </c>
      <c r="E35" s="101" t="s">
        <v>34</v>
      </c>
      <c r="F35" s="496">
        <f t="shared" si="3"/>
        <v>191.95</v>
      </c>
      <c r="G35" s="101"/>
      <c r="H35" s="507"/>
      <c r="I35" s="101">
        <f>SUM(E36)</f>
        <v>191.95</v>
      </c>
      <c r="J35" s="133"/>
      <c r="K35" s="43">
        <v>13.88</v>
      </c>
      <c r="L35" s="43">
        <f>K35*I35</f>
        <v>2664.27</v>
      </c>
      <c r="M35" s="524"/>
      <c r="N35" s="516">
        <f t="shared" si="2"/>
        <v>0</v>
      </c>
    </row>
    <row r="36" spans="1:14" ht="33" customHeight="1" hidden="1">
      <c r="A36" s="377"/>
      <c r="B36" s="379"/>
      <c r="C36" s="380" t="s">
        <v>573</v>
      </c>
      <c r="D36" s="381" t="s">
        <v>823</v>
      </c>
      <c r="E36" s="382">
        <f>191.95</f>
        <v>191.95</v>
      </c>
      <c r="F36" s="550" t="str">
        <f t="shared" si="3"/>
        <v>x</v>
      </c>
      <c r="G36" s="105"/>
      <c r="H36" s="508"/>
      <c r="I36" s="105" t="s">
        <v>34</v>
      </c>
      <c r="J36" s="130"/>
      <c r="K36" s="43"/>
      <c r="L36" s="43"/>
      <c r="M36" s="523"/>
      <c r="N36" s="516">
        <f t="shared" si="2"/>
        <v>0</v>
      </c>
    </row>
    <row r="37" spans="1:180" s="15" customFormat="1" ht="40.5" customHeight="1" hidden="1">
      <c r="A37" s="551" t="s">
        <v>146</v>
      </c>
      <c r="B37" s="386" t="str">
        <f>B35</f>
        <v>01.02.04.21</v>
      </c>
      <c r="C37" s="387" t="s">
        <v>574</v>
      </c>
      <c r="D37" s="388" t="s">
        <v>824</v>
      </c>
      <c r="E37" s="389">
        <f>E36*0.15</f>
        <v>28.79</v>
      </c>
      <c r="F37" s="550">
        <f t="shared" si="3"/>
        <v>28.79</v>
      </c>
      <c r="G37" s="92"/>
      <c r="H37" s="506"/>
      <c r="I37" s="92">
        <f>0.15*I35</f>
        <v>28.79</v>
      </c>
      <c r="J37" s="107"/>
      <c r="K37" s="45"/>
      <c r="L37" s="45"/>
      <c r="M37" s="8"/>
      <c r="N37" s="516">
        <f t="shared" si="2"/>
        <v>0</v>
      </c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</row>
    <row r="38" spans="1:180" s="15" customFormat="1" ht="20.25" customHeight="1">
      <c r="A38" s="377">
        <v>3</v>
      </c>
      <c r="B38" s="135" t="s">
        <v>31</v>
      </c>
      <c r="C38" s="376" t="s">
        <v>575</v>
      </c>
      <c r="D38" s="377" t="s">
        <v>822</v>
      </c>
      <c r="E38" s="272" t="s">
        <v>34</v>
      </c>
      <c r="F38" s="550">
        <f t="shared" si="3"/>
        <v>53.22</v>
      </c>
      <c r="G38" s="101">
        <v>14.6</v>
      </c>
      <c r="H38" s="507">
        <f aca="true" t="shared" si="4" ref="H38:H52">G38*F38</f>
        <v>777.01</v>
      </c>
      <c r="I38" s="101">
        <f>SUM(E39)</f>
        <v>53.22</v>
      </c>
      <c r="J38" s="107"/>
      <c r="K38" s="45"/>
      <c r="L38" s="45"/>
      <c r="M38" s="8"/>
      <c r="N38" s="516">
        <f t="shared" si="2"/>
        <v>777.01</v>
      </c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</row>
    <row r="39" spans="1:180" s="15" customFormat="1" ht="45.75" customHeight="1" hidden="1">
      <c r="A39" s="97"/>
      <c r="B39" s="102"/>
      <c r="C39" s="103" t="s">
        <v>759</v>
      </c>
      <c r="D39" s="104" t="s">
        <v>200</v>
      </c>
      <c r="E39" s="105">
        <f>'1.2.3. Zjazdy indywidualne'!N26-'1.2.3. Zjazdy indywidualne'!N24</f>
        <v>53.22</v>
      </c>
      <c r="F39" s="550" t="str">
        <f t="shared" si="3"/>
        <v>x</v>
      </c>
      <c r="G39" s="105"/>
      <c r="H39" s="507" t="e">
        <f t="shared" si="4"/>
        <v>#VALUE!</v>
      </c>
      <c r="I39" s="105" t="s">
        <v>34</v>
      </c>
      <c r="J39" s="107"/>
      <c r="K39" s="45"/>
      <c r="L39" s="45"/>
      <c r="M39" s="8"/>
      <c r="N39" s="516" t="e">
        <f t="shared" si="2"/>
        <v>#VALUE!</v>
      </c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</row>
    <row r="40" spans="1:180" s="15" customFormat="1" ht="39.75" customHeight="1" hidden="1">
      <c r="A40" s="493" t="s">
        <v>147</v>
      </c>
      <c r="B40" s="94" t="str">
        <f>B38</f>
        <v>01.02.04.22</v>
      </c>
      <c r="C40" s="90" t="s">
        <v>760</v>
      </c>
      <c r="D40" s="91" t="s">
        <v>201</v>
      </c>
      <c r="E40" s="389">
        <f>E39*0.05</f>
        <v>2.66</v>
      </c>
      <c r="F40" s="496">
        <f t="shared" si="3"/>
        <v>2.66</v>
      </c>
      <c r="G40" s="92"/>
      <c r="H40" s="507">
        <f t="shared" si="4"/>
        <v>0</v>
      </c>
      <c r="I40" s="92">
        <f>E40</f>
        <v>2.66</v>
      </c>
      <c r="J40" s="107"/>
      <c r="K40" s="45"/>
      <c r="L40" s="45"/>
      <c r="M40" s="8"/>
      <c r="N40" s="516">
        <f t="shared" si="2"/>
        <v>0</v>
      </c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</row>
    <row r="41" spans="1:180" s="15" customFormat="1" ht="18" customHeight="1">
      <c r="A41" s="97">
        <v>4</v>
      </c>
      <c r="B41" s="98" t="s">
        <v>149</v>
      </c>
      <c r="C41" s="99" t="s">
        <v>578</v>
      </c>
      <c r="D41" s="97" t="s">
        <v>199</v>
      </c>
      <c r="E41" s="272" t="s">
        <v>34</v>
      </c>
      <c r="F41" s="496">
        <f t="shared" si="3"/>
        <v>624.29</v>
      </c>
      <c r="G41" s="101">
        <v>10.25</v>
      </c>
      <c r="H41" s="507">
        <f t="shared" si="4"/>
        <v>6398.97</v>
      </c>
      <c r="I41" s="101">
        <f>SUM(E42)</f>
        <v>624.29</v>
      </c>
      <c r="J41" s="107"/>
      <c r="K41" s="45"/>
      <c r="L41" s="45"/>
      <c r="M41" s="8"/>
      <c r="N41" s="516">
        <f t="shared" si="2"/>
        <v>6398.97</v>
      </c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</row>
    <row r="42" spans="1:180" s="15" customFormat="1" ht="87.75" customHeight="1" hidden="1">
      <c r="A42" s="97"/>
      <c r="B42" s="102"/>
      <c r="C42" s="103" t="s">
        <v>796</v>
      </c>
      <c r="D42" s="104" t="s">
        <v>200</v>
      </c>
      <c r="E42" s="105">
        <v>624.29</v>
      </c>
      <c r="F42" s="496" t="str">
        <f t="shared" si="3"/>
        <v>x</v>
      </c>
      <c r="G42" s="105"/>
      <c r="H42" s="507" t="e">
        <f t="shared" si="4"/>
        <v>#VALUE!</v>
      </c>
      <c r="I42" s="105" t="s">
        <v>34</v>
      </c>
      <c r="J42" s="107"/>
      <c r="K42" s="45"/>
      <c r="L42" s="45"/>
      <c r="M42" s="8"/>
      <c r="N42" s="516" t="e">
        <f t="shared" si="2"/>
        <v>#VALUE!</v>
      </c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</row>
    <row r="43" spans="1:180" s="15" customFormat="1" ht="73.5" customHeight="1" hidden="1">
      <c r="A43" s="493" t="s">
        <v>148</v>
      </c>
      <c r="B43" s="94" t="str">
        <f>B41</f>
        <v>01.02.04.24</v>
      </c>
      <c r="C43" s="90" t="s">
        <v>767</v>
      </c>
      <c r="D43" s="91" t="s">
        <v>201</v>
      </c>
      <c r="E43" s="92">
        <f>E42*0.06</f>
        <v>37.46</v>
      </c>
      <c r="F43" s="496">
        <f t="shared" si="3"/>
        <v>37.46</v>
      </c>
      <c r="G43" s="92"/>
      <c r="H43" s="507">
        <f t="shared" si="4"/>
        <v>0</v>
      </c>
      <c r="I43" s="92">
        <f>E43</f>
        <v>37.46</v>
      </c>
      <c r="J43" s="107"/>
      <c r="K43" s="45"/>
      <c r="L43" s="45"/>
      <c r="M43" s="8"/>
      <c r="N43" s="516">
        <f t="shared" si="2"/>
        <v>0</v>
      </c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</row>
    <row r="44" spans="1:180" s="15" customFormat="1" ht="21" customHeight="1" hidden="1">
      <c r="A44" s="97">
        <v>10</v>
      </c>
      <c r="B44" s="98" t="s">
        <v>581</v>
      </c>
      <c r="C44" s="99" t="s">
        <v>582</v>
      </c>
      <c r="D44" s="97" t="s">
        <v>199</v>
      </c>
      <c r="E44" s="101" t="s">
        <v>34</v>
      </c>
      <c r="F44" s="496">
        <f t="shared" si="3"/>
        <v>18</v>
      </c>
      <c r="G44" s="101"/>
      <c r="H44" s="507">
        <f t="shared" si="4"/>
        <v>0</v>
      </c>
      <c r="I44" s="101">
        <f>SUM(E45)</f>
        <v>18</v>
      </c>
      <c r="J44" s="107"/>
      <c r="K44" s="45"/>
      <c r="L44" s="45"/>
      <c r="M44" s="8"/>
      <c r="N44" s="516">
        <f t="shared" si="2"/>
        <v>0</v>
      </c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</row>
    <row r="45" spans="1:180" s="15" customFormat="1" ht="42.75" customHeight="1" hidden="1">
      <c r="A45" s="97"/>
      <c r="B45" s="102"/>
      <c r="C45" s="103" t="s">
        <v>583</v>
      </c>
      <c r="D45" s="104" t="s">
        <v>200</v>
      </c>
      <c r="E45" s="105">
        <f>18</f>
        <v>18</v>
      </c>
      <c r="F45" s="550" t="str">
        <f t="shared" si="3"/>
        <v>x</v>
      </c>
      <c r="G45" s="105"/>
      <c r="H45" s="507" t="e">
        <f t="shared" si="4"/>
        <v>#VALUE!</v>
      </c>
      <c r="I45" s="105" t="s">
        <v>34</v>
      </c>
      <c r="J45" s="107"/>
      <c r="K45" s="45"/>
      <c r="L45" s="45"/>
      <c r="M45" s="8"/>
      <c r="N45" s="516" t="e">
        <f t="shared" si="2"/>
        <v>#VALUE!</v>
      </c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</row>
    <row r="46" spans="1:180" s="15" customFormat="1" ht="38.25" customHeight="1" hidden="1">
      <c r="A46" s="493" t="s">
        <v>36</v>
      </c>
      <c r="B46" s="94" t="str">
        <f>B44</f>
        <v>01.02.04.23</v>
      </c>
      <c r="C46" s="90" t="s">
        <v>584</v>
      </c>
      <c r="D46" s="91" t="s">
        <v>201</v>
      </c>
      <c r="E46" s="389">
        <f>E45*0.1</f>
        <v>1.8</v>
      </c>
      <c r="F46" s="496">
        <f t="shared" si="3"/>
        <v>1.8</v>
      </c>
      <c r="G46" s="92"/>
      <c r="H46" s="507">
        <f t="shared" si="4"/>
        <v>0</v>
      </c>
      <c r="I46" s="92">
        <f>E46</f>
        <v>1.8</v>
      </c>
      <c r="J46" s="107"/>
      <c r="K46" s="45"/>
      <c r="L46" s="45"/>
      <c r="M46" s="8"/>
      <c r="N46" s="516">
        <f t="shared" si="2"/>
        <v>0</v>
      </c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</row>
    <row r="47" spans="1:180" s="15" customFormat="1" ht="18" customHeight="1">
      <c r="A47" s="97">
        <v>5</v>
      </c>
      <c r="B47" s="98" t="s">
        <v>585</v>
      </c>
      <c r="C47" s="99" t="s">
        <v>762</v>
      </c>
      <c r="D47" s="97" t="s">
        <v>11</v>
      </c>
      <c r="E47" s="101" t="s">
        <v>34</v>
      </c>
      <c r="F47" s="496">
        <f t="shared" si="3"/>
        <v>713</v>
      </c>
      <c r="G47" s="101">
        <v>18.4</v>
      </c>
      <c r="H47" s="507">
        <f t="shared" si="4"/>
        <v>13119.2</v>
      </c>
      <c r="I47" s="101">
        <f>SUM(E48)</f>
        <v>713</v>
      </c>
      <c r="J47" s="107"/>
      <c r="K47" s="45"/>
      <c r="L47" s="45"/>
      <c r="M47" s="8"/>
      <c r="N47" s="516">
        <f t="shared" si="2"/>
        <v>13119.2</v>
      </c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</row>
    <row r="48" spans="1:180" s="15" customFormat="1" ht="90.75" customHeight="1" hidden="1">
      <c r="A48" s="97"/>
      <c r="B48" s="379"/>
      <c r="C48" s="103" t="s">
        <v>769</v>
      </c>
      <c r="D48" s="104" t="s">
        <v>11</v>
      </c>
      <c r="E48" s="105">
        <v>713</v>
      </c>
      <c r="F48" s="496" t="str">
        <f t="shared" si="3"/>
        <v>x</v>
      </c>
      <c r="G48" s="105"/>
      <c r="H48" s="507" t="e">
        <f t="shared" si="4"/>
        <v>#VALUE!</v>
      </c>
      <c r="I48" s="105" t="s">
        <v>34</v>
      </c>
      <c r="J48" s="107"/>
      <c r="K48" s="45"/>
      <c r="L48" s="45"/>
      <c r="M48" s="8"/>
      <c r="N48" s="516" t="e">
        <f t="shared" si="2"/>
        <v>#VALUE!</v>
      </c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</row>
    <row r="49" spans="1:180" s="15" customFormat="1" ht="69" customHeight="1" hidden="1">
      <c r="A49" s="493" t="s">
        <v>151</v>
      </c>
      <c r="B49" s="94" t="str">
        <f>B47</f>
        <v>01.02.04.41</v>
      </c>
      <c r="C49" s="90" t="s">
        <v>768</v>
      </c>
      <c r="D49" s="91" t="s">
        <v>201</v>
      </c>
      <c r="E49" s="92">
        <f>E48*0.3*0.15</f>
        <v>32.09</v>
      </c>
      <c r="F49" s="496">
        <f t="shared" si="3"/>
        <v>32.09</v>
      </c>
      <c r="G49" s="92"/>
      <c r="H49" s="507">
        <f t="shared" si="4"/>
        <v>0</v>
      </c>
      <c r="I49" s="92">
        <f>E49</f>
        <v>32.09</v>
      </c>
      <c r="J49" s="107"/>
      <c r="K49" s="45"/>
      <c r="L49" s="45"/>
      <c r="M49" s="8"/>
      <c r="N49" s="516">
        <f t="shared" si="2"/>
        <v>0</v>
      </c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</row>
    <row r="50" spans="1:180" s="15" customFormat="1" ht="18.75" customHeight="1">
      <c r="A50" s="97">
        <v>6</v>
      </c>
      <c r="B50" s="98" t="s">
        <v>32</v>
      </c>
      <c r="C50" s="99" t="s">
        <v>153</v>
      </c>
      <c r="D50" s="97" t="s">
        <v>9</v>
      </c>
      <c r="E50" s="101" t="s">
        <v>34</v>
      </c>
      <c r="F50" s="496">
        <f t="shared" si="3"/>
        <v>3</v>
      </c>
      <c r="G50" s="101">
        <v>5.5</v>
      </c>
      <c r="H50" s="507">
        <f t="shared" si="4"/>
        <v>16.5</v>
      </c>
      <c r="I50" s="101">
        <f>SUM(E51)</f>
        <v>3</v>
      </c>
      <c r="J50" s="107"/>
      <c r="K50" s="45"/>
      <c r="L50" s="45"/>
      <c r="M50" s="8"/>
      <c r="N50" s="516">
        <f t="shared" si="2"/>
        <v>16.5</v>
      </c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</row>
    <row r="51" spans="1:180" s="15" customFormat="1" ht="40.5" customHeight="1" hidden="1">
      <c r="A51" s="493"/>
      <c r="B51" s="94"/>
      <c r="C51" s="90" t="s">
        <v>761</v>
      </c>
      <c r="D51" s="91" t="s">
        <v>9</v>
      </c>
      <c r="E51" s="92">
        <v>3</v>
      </c>
      <c r="F51" s="496" t="str">
        <f t="shared" si="3"/>
        <v>x</v>
      </c>
      <c r="G51" s="92"/>
      <c r="H51" s="507" t="e">
        <f t="shared" si="4"/>
        <v>#VALUE!</v>
      </c>
      <c r="I51" s="92" t="s">
        <v>34</v>
      </c>
      <c r="J51" s="107"/>
      <c r="K51" s="45"/>
      <c r="L51" s="45"/>
      <c r="M51" s="8"/>
      <c r="N51" s="516" t="e">
        <f t="shared" si="2"/>
        <v>#VALUE!</v>
      </c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</row>
    <row r="52" spans="1:181" s="15" customFormat="1" ht="18" customHeight="1">
      <c r="A52" s="97">
        <v>7</v>
      </c>
      <c r="B52" s="98" t="s">
        <v>121</v>
      </c>
      <c r="C52" s="99" t="s">
        <v>154</v>
      </c>
      <c r="D52" s="97" t="s">
        <v>9</v>
      </c>
      <c r="E52" s="101" t="s">
        <v>34</v>
      </c>
      <c r="F52" s="496">
        <f t="shared" si="3"/>
        <v>5</v>
      </c>
      <c r="G52" s="101">
        <v>2.35</v>
      </c>
      <c r="H52" s="507">
        <f t="shared" si="4"/>
        <v>11.75</v>
      </c>
      <c r="I52" s="101">
        <f>SUM(E53)</f>
        <v>5</v>
      </c>
      <c r="J52" s="107"/>
      <c r="K52" s="45"/>
      <c r="L52" s="45"/>
      <c r="M52" s="81"/>
      <c r="N52" s="516">
        <f t="shared" si="2"/>
        <v>11.75</v>
      </c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</row>
    <row r="53" spans="1:180" s="15" customFormat="1" ht="32.25" customHeight="1" hidden="1">
      <c r="A53" s="493"/>
      <c r="B53" s="94"/>
      <c r="C53" s="90" t="s">
        <v>721</v>
      </c>
      <c r="D53" s="91" t="s">
        <v>9</v>
      </c>
      <c r="E53" s="92">
        <v>5</v>
      </c>
      <c r="F53" s="496" t="str">
        <f t="shared" si="3"/>
        <v>x</v>
      </c>
      <c r="G53" s="92"/>
      <c r="H53" s="506"/>
      <c r="I53" s="92" t="s">
        <v>34</v>
      </c>
      <c r="J53" s="107"/>
      <c r="K53" s="45"/>
      <c r="L53" s="45"/>
      <c r="M53" s="8"/>
      <c r="N53" s="516">
        <f t="shared" si="2"/>
        <v>0</v>
      </c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</row>
    <row r="54" spans="1:180" s="15" customFormat="1" ht="19.5" customHeight="1" hidden="1">
      <c r="A54" s="97">
        <v>16</v>
      </c>
      <c r="B54" s="98" t="s">
        <v>156</v>
      </c>
      <c r="C54" s="99" t="s">
        <v>249</v>
      </c>
      <c r="D54" s="97" t="s">
        <v>202</v>
      </c>
      <c r="E54" s="101" t="s">
        <v>34</v>
      </c>
      <c r="F54" s="497"/>
      <c r="G54" s="101"/>
      <c r="H54" s="507"/>
      <c r="I54" s="101">
        <f>SUM(E55)</f>
        <v>6.64</v>
      </c>
      <c r="J54" s="107"/>
      <c r="K54" s="45"/>
      <c r="L54" s="45"/>
      <c r="M54" s="8"/>
      <c r="N54" s="516">
        <f t="shared" si="2"/>
        <v>0</v>
      </c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</row>
    <row r="55" spans="1:180" s="15" customFormat="1" ht="45" customHeight="1" hidden="1">
      <c r="A55" s="493"/>
      <c r="B55" s="94"/>
      <c r="C55" s="90" t="s">
        <v>600</v>
      </c>
      <c r="D55" s="91" t="s">
        <v>201</v>
      </c>
      <c r="E55" s="92">
        <f>6.64</f>
        <v>6.64</v>
      </c>
      <c r="F55" s="499"/>
      <c r="G55" s="92"/>
      <c r="H55" s="506"/>
      <c r="I55" s="92" t="s">
        <v>34</v>
      </c>
      <c r="J55" s="107"/>
      <c r="K55" s="45"/>
      <c r="L55" s="45"/>
      <c r="M55" s="8"/>
      <c r="N55" s="516">
        <f t="shared" si="2"/>
        <v>0</v>
      </c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</row>
    <row r="56" spans="1:144" s="15" customFormat="1" ht="27" customHeight="1" hidden="1">
      <c r="A56" s="25" t="s">
        <v>62</v>
      </c>
      <c r="B56" s="25" t="s">
        <v>122</v>
      </c>
      <c r="C56" s="848" t="s">
        <v>213</v>
      </c>
      <c r="D56" s="848"/>
      <c r="E56" s="848"/>
      <c r="F56" s="848"/>
      <c r="G56" s="848"/>
      <c r="H56" s="848"/>
      <c r="I56" s="848"/>
      <c r="J56" s="107"/>
      <c r="K56" s="45"/>
      <c r="L56" s="45"/>
      <c r="M56" s="8"/>
      <c r="N56" s="516">
        <f t="shared" si="2"/>
        <v>0</v>
      </c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1:144" s="15" customFormat="1" ht="20.25" customHeight="1" hidden="1">
      <c r="A57" s="85" t="s">
        <v>34</v>
      </c>
      <c r="B57" s="85" t="s">
        <v>157</v>
      </c>
      <c r="C57" s="814" t="s">
        <v>162</v>
      </c>
      <c r="D57" s="814"/>
      <c r="E57" s="814"/>
      <c r="F57" s="814"/>
      <c r="G57" s="814"/>
      <c r="H57" s="814"/>
      <c r="I57" s="814"/>
      <c r="J57" s="107"/>
      <c r="K57" s="45"/>
      <c r="L57" s="45"/>
      <c r="M57" s="8"/>
      <c r="N57" s="516">
        <f t="shared" si="2"/>
        <v>0</v>
      </c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1:144" s="15" customFormat="1" ht="27" customHeight="1" hidden="1">
      <c r="A58" s="97">
        <v>17</v>
      </c>
      <c r="B58" s="87" t="s">
        <v>158</v>
      </c>
      <c r="C58" s="108" t="s">
        <v>159</v>
      </c>
      <c r="D58" s="97" t="s">
        <v>202</v>
      </c>
      <c r="E58" s="101" t="s">
        <v>34</v>
      </c>
      <c r="F58" s="497"/>
      <c r="G58" s="101"/>
      <c r="H58" s="507"/>
      <c r="I58" s="101">
        <f>E59</f>
        <v>0</v>
      </c>
      <c r="J58" s="107"/>
      <c r="K58" s="45"/>
      <c r="L58" s="45"/>
      <c r="M58" s="8"/>
      <c r="N58" s="516">
        <f t="shared" si="2"/>
        <v>0</v>
      </c>
      <c r="O58" s="392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1:144" s="15" customFormat="1" ht="46.5" customHeight="1" hidden="1">
      <c r="A59" s="97"/>
      <c r="B59" s="98"/>
      <c r="C59" s="103" t="s">
        <v>601</v>
      </c>
      <c r="D59" s="104" t="s">
        <v>201</v>
      </c>
      <c r="E59" s="105">
        <v>0</v>
      </c>
      <c r="F59" s="498"/>
      <c r="G59" s="105"/>
      <c r="H59" s="508"/>
      <c r="I59" s="101" t="s">
        <v>34</v>
      </c>
      <c r="J59" s="107"/>
      <c r="K59" s="45"/>
      <c r="L59" s="45"/>
      <c r="M59" s="8"/>
      <c r="N59" s="516">
        <f t="shared" si="2"/>
        <v>0</v>
      </c>
      <c r="O59" s="8"/>
      <c r="P59" s="8"/>
      <c r="Q59" s="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1:144" s="15" customFormat="1" ht="20.25" customHeight="1" hidden="1">
      <c r="A60" s="97">
        <v>18</v>
      </c>
      <c r="B60" s="87" t="s">
        <v>160</v>
      </c>
      <c r="C60" s="108" t="s">
        <v>161</v>
      </c>
      <c r="D60" s="97" t="s">
        <v>202</v>
      </c>
      <c r="E60" s="101" t="s">
        <v>34</v>
      </c>
      <c r="F60" s="497"/>
      <c r="G60" s="101"/>
      <c r="H60" s="507"/>
      <c r="I60" s="101">
        <f>E61</f>
        <v>0</v>
      </c>
      <c r="J60" s="107"/>
      <c r="K60" s="45"/>
      <c r="L60" s="45"/>
      <c r="M60" s="8"/>
      <c r="N60" s="516">
        <f t="shared" si="2"/>
        <v>0</v>
      </c>
      <c r="O60" s="392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1:144" s="15" customFormat="1" ht="74.25" customHeight="1" hidden="1">
      <c r="A61" s="97"/>
      <c r="B61" s="98"/>
      <c r="C61" s="103" t="s">
        <v>602</v>
      </c>
      <c r="D61" s="104" t="s">
        <v>201</v>
      </c>
      <c r="E61" s="105">
        <v>0</v>
      </c>
      <c r="F61" s="498"/>
      <c r="G61" s="105"/>
      <c r="H61" s="508"/>
      <c r="I61" s="101" t="s">
        <v>34</v>
      </c>
      <c r="J61" s="107"/>
      <c r="K61" s="45"/>
      <c r="L61" s="45"/>
      <c r="M61" s="8"/>
      <c r="N61" s="516">
        <f t="shared" si="2"/>
        <v>0</v>
      </c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1:14" s="14" customFormat="1" ht="18" customHeight="1" hidden="1">
      <c r="A62" s="85" t="s">
        <v>34</v>
      </c>
      <c r="B62" s="85" t="s">
        <v>75</v>
      </c>
      <c r="C62" s="814" t="s">
        <v>76</v>
      </c>
      <c r="D62" s="814"/>
      <c r="E62" s="814"/>
      <c r="F62" s="814"/>
      <c r="G62" s="814"/>
      <c r="H62" s="814"/>
      <c r="I62" s="814"/>
      <c r="J62" s="133"/>
      <c r="K62" s="43">
        <v>350</v>
      </c>
      <c r="L62" s="43" t="e">
        <f>K62*#REF!</f>
        <v>#REF!</v>
      </c>
      <c r="M62" s="8"/>
      <c r="N62" s="516">
        <f t="shared" si="2"/>
        <v>0</v>
      </c>
    </row>
    <row r="63" spans="1:15" s="14" customFormat="1" ht="19.5" customHeight="1" hidden="1">
      <c r="A63" s="494">
        <v>19</v>
      </c>
      <c r="B63" s="87" t="s">
        <v>163</v>
      </c>
      <c r="C63" s="136" t="s">
        <v>164</v>
      </c>
      <c r="D63" s="109" t="s">
        <v>202</v>
      </c>
      <c r="E63" s="110" t="s">
        <v>34</v>
      </c>
      <c r="F63" s="45"/>
      <c r="G63" s="110"/>
      <c r="H63" s="507"/>
      <c r="I63" s="110">
        <f>E64</f>
        <v>0</v>
      </c>
      <c r="J63" s="133"/>
      <c r="K63" s="43"/>
      <c r="L63" s="43"/>
      <c r="M63" s="8"/>
      <c r="N63" s="516">
        <f t="shared" si="2"/>
        <v>0</v>
      </c>
      <c r="O63" s="393"/>
    </row>
    <row r="64" spans="1:14" s="14" customFormat="1" ht="33" customHeight="1" hidden="1">
      <c r="A64" s="494"/>
      <c r="B64" s="98"/>
      <c r="C64" s="137" t="s">
        <v>603</v>
      </c>
      <c r="D64" s="104" t="s">
        <v>201</v>
      </c>
      <c r="E64" s="105">
        <f>E59</f>
        <v>0</v>
      </c>
      <c r="F64" s="498"/>
      <c r="G64" s="105"/>
      <c r="H64" s="508"/>
      <c r="I64" s="105" t="s">
        <v>34</v>
      </c>
      <c r="J64" s="133"/>
      <c r="K64" s="43"/>
      <c r="L64" s="43"/>
      <c r="M64" s="8"/>
      <c r="N64" s="516">
        <f t="shared" si="2"/>
        <v>0</v>
      </c>
    </row>
    <row r="65" spans="1:15" s="14" customFormat="1" ht="27.75" customHeight="1" hidden="1">
      <c r="A65" s="494">
        <v>20</v>
      </c>
      <c r="B65" s="87" t="s">
        <v>163</v>
      </c>
      <c r="C65" s="136" t="s">
        <v>604</v>
      </c>
      <c r="D65" s="109" t="s">
        <v>202</v>
      </c>
      <c r="E65" s="110" t="s">
        <v>34</v>
      </c>
      <c r="F65" s="45"/>
      <c r="G65" s="110"/>
      <c r="H65" s="507"/>
      <c r="I65" s="110">
        <f>E66</f>
        <v>0</v>
      </c>
      <c r="J65" s="133"/>
      <c r="K65" s="43"/>
      <c r="L65" s="43"/>
      <c r="M65" s="8"/>
      <c r="N65" s="516">
        <f t="shared" si="2"/>
        <v>0</v>
      </c>
      <c r="O65" s="393"/>
    </row>
    <row r="66" spans="1:14" s="14" customFormat="1" ht="42" customHeight="1" hidden="1">
      <c r="A66" s="494"/>
      <c r="B66" s="98"/>
      <c r="C66" s="137" t="s">
        <v>605</v>
      </c>
      <c r="D66" s="104" t="s">
        <v>201</v>
      </c>
      <c r="E66" s="105">
        <f>E61</f>
        <v>0</v>
      </c>
      <c r="F66" s="498"/>
      <c r="G66" s="105"/>
      <c r="H66" s="508"/>
      <c r="I66" s="105" t="s">
        <v>34</v>
      </c>
      <c r="J66" s="133"/>
      <c r="K66" s="43"/>
      <c r="L66" s="43"/>
      <c r="M66" s="8"/>
      <c r="N66" s="516">
        <f aca="true" t="shared" si="5" ref="N66:N129">H66</f>
        <v>0</v>
      </c>
    </row>
    <row r="67" spans="1:14" s="3" customFormat="1" ht="32.25" customHeight="1" hidden="1">
      <c r="A67" s="25" t="s">
        <v>52</v>
      </c>
      <c r="B67" s="25" t="s">
        <v>123</v>
      </c>
      <c r="C67" s="848" t="s">
        <v>203</v>
      </c>
      <c r="D67" s="848"/>
      <c r="E67" s="848"/>
      <c r="F67" s="848"/>
      <c r="G67" s="848"/>
      <c r="H67" s="848"/>
      <c r="I67" s="848"/>
      <c r="J67" s="130"/>
      <c r="K67" s="44"/>
      <c r="L67" s="44"/>
      <c r="M67" s="1"/>
      <c r="N67" s="516">
        <f t="shared" si="5"/>
        <v>0</v>
      </c>
    </row>
    <row r="68" spans="1:14" s="3" customFormat="1" ht="18" customHeight="1" hidden="1">
      <c r="A68" s="85" t="s">
        <v>34</v>
      </c>
      <c r="B68" s="85" t="s">
        <v>165</v>
      </c>
      <c r="C68" s="814" t="s">
        <v>166</v>
      </c>
      <c r="D68" s="814"/>
      <c r="E68" s="814"/>
      <c r="F68" s="814"/>
      <c r="G68" s="814"/>
      <c r="H68" s="814"/>
      <c r="I68" s="814"/>
      <c r="J68" s="130"/>
      <c r="K68" s="44"/>
      <c r="L68" s="44"/>
      <c r="M68" s="1"/>
      <c r="N68" s="516">
        <f t="shared" si="5"/>
        <v>0</v>
      </c>
    </row>
    <row r="69" spans="1:14" s="3" customFormat="1" ht="19.5" customHeight="1" hidden="1">
      <c r="A69" s="494">
        <v>18</v>
      </c>
      <c r="B69" s="87" t="s">
        <v>167</v>
      </c>
      <c r="C69" s="136" t="s">
        <v>168</v>
      </c>
      <c r="D69" s="109" t="s">
        <v>11</v>
      </c>
      <c r="E69" s="110" t="s">
        <v>34</v>
      </c>
      <c r="F69" s="45"/>
      <c r="G69" s="110"/>
      <c r="H69" s="507"/>
      <c r="I69" s="110">
        <f>E70</f>
        <v>2</v>
      </c>
      <c r="J69" s="130"/>
      <c r="K69" s="44"/>
      <c r="L69" s="44"/>
      <c r="M69" s="1"/>
      <c r="N69" s="516">
        <f t="shared" si="5"/>
        <v>0</v>
      </c>
    </row>
    <row r="70" spans="1:14" s="3" customFormat="1" ht="69" customHeight="1" hidden="1">
      <c r="A70" s="494"/>
      <c r="B70" s="98"/>
      <c r="C70" s="137" t="s">
        <v>453</v>
      </c>
      <c r="D70" s="104" t="s">
        <v>11</v>
      </c>
      <c r="E70" s="105">
        <f>2</f>
        <v>2</v>
      </c>
      <c r="F70" s="498"/>
      <c r="G70" s="105"/>
      <c r="H70" s="508"/>
      <c r="I70" s="105" t="s">
        <v>34</v>
      </c>
      <c r="J70" s="130"/>
      <c r="K70" s="44"/>
      <c r="L70" s="44"/>
      <c r="M70" s="1"/>
      <c r="N70" s="516">
        <f t="shared" si="5"/>
        <v>0</v>
      </c>
    </row>
    <row r="71" spans="1:14" s="3" customFormat="1" ht="18" customHeight="1" hidden="1">
      <c r="A71" s="493" t="s">
        <v>301</v>
      </c>
      <c r="B71" s="94" t="str">
        <f>B69</f>
        <v>03.01.01.11</v>
      </c>
      <c r="C71" s="90" t="s">
        <v>169</v>
      </c>
      <c r="D71" s="91" t="s">
        <v>34</v>
      </c>
      <c r="E71" s="92" t="s">
        <v>34</v>
      </c>
      <c r="F71" s="499"/>
      <c r="G71" s="92"/>
      <c r="H71" s="506"/>
      <c r="I71" s="92" t="s">
        <v>34</v>
      </c>
      <c r="J71" s="130"/>
      <c r="K71" s="44"/>
      <c r="L71" s="44"/>
      <c r="M71" s="1"/>
      <c r="N71" s="516">
        <f t="shared" si="5"/>
        <v>0</v>
      </c>
    </row>
    <row r="72" spans="1:14" s="3" customFormat="1" ht="17.25" customHeight="1" hidden="1">
      <c r="A72" s="111"/>
      <c r="B72" s="195"/>
      <c r="C72" s="196" t="s">
        <v>254</v>
      </c>
      <c r="D72" s="197" t="s">
        <v>300</v>
      </c>
      <c r="E72" s="198">
        <f>0.66*2</f>
        <v>1.32</v>
      </c>
      <c r="F72" s="500"/>
      <c r="G72" s="198"/>
      <c r="H72" s="509"/>
      <c r="I72" s="198">
        <f>E72</f>
        <v>1.32</v>
      </c>
      <c r="J72" s="130"/>
      <c r="K72" s="44"/>
      <c r="L72" s="44"/>
      <c r="M72" s="1"/>
      <c r="N72" s="516">
        <f t="shared" si="5"/>
        <v>0</v>
      </c>
    </row>
    <row r="73" spans="1:14" s="3" customFormat="1" ht="27" customHeight="1" hidden="1">
      <c r="A73" s="109"/>
      <c r="B73" s="195"/>
      <c r="C73" s="199" t="s">
        <v>253</v>
      </c>
      <c r="D73" s="197" t="s">
        <v>300</v>
      </c>
      <c r="E73" s="198">
        <f>2*0.13</f>
        <v>0.26</v>
      </c>
      <c r="F73" s="500"/>
      <c r="G73" s="198"/>
      <c r="H73" s="509"/>
      <c r="I73" s="198">
        <f>E73</f>
        <v>0.26</v>
      </c>
      <c r="J73" s="130"/>
      <c r="K73" s="44"/>
      <c r="L73" s="44"/>
      <c r="M73" s="1"/>
      <c r="N73" s="516">
        <f t="shared" si="5"/>
        <v>0</v>
      </c>
    </row>
    <row r="74" spans="1:14" s="3" customFormat="1" ht="20.25" customHeight="1" hidden="1">
      <c r="A74" s="109"/>
      <c r="B74" s="195"/>
      <c r="C74" s="196" t="s">
        <v>255</v>
      </c>
      <c r="D74" s="197" t="s">
        <v>300</v>
      </c>
      <c r="E74" s="198">
        <f>0.66</f>
        <v>0.66</v>
      </c>
      <c r="F74" s="500"/>
      <c r="G74" s="198"/>
      <c r="H74" s="509"/>
      <c r="I74" s="198">
        <f>E74</f>
        <v>0.66</v>
      </c>
      <c r="J74" s="130"/>
      <c r="K74" s="44"/>
      <c r="L74" s="44"/>
      <c r="M74" s="1"/>
      <c r="N74" s="516">
        <f t="shared" si="5"/>
        <v>0</v>
      </c>
    </row>
    <row r="75" spans="1:14" s="3" customFormat="1" ht="19.5" customHeight="1" hidden="1">
      <c r="A75" s="85" t="s">
        <v>34</v>
      </c>
      <c r="B75" s="85" t="s">
        <v>170</v>
      </c>
      <c r="C75" s="814" t="s">
        <v>171</v>
      </c>
      <c r="D75" s="814"/>
      <c r="E75" s="814"/>
      <c r="F75" s="814"/>
      <c r="G75" s="814"/>
      <c r="H75" s="814"/>
      <c r="I75" s="814"/>
      <c r="J75" s="130"/>
      <c r="K75" s="44"/>
      <c r="L75" s="44"/>
      <c r="M75" s="1"/>
      <c r="N75" s="516">
        <f t="shared" si="5"/>
        <v>0</v>
      </c>
    </row>
    <row r="76" spans="1:14" s="3" customFormat="1" ht="18" customHeight="1" hidden="1">
      <c r="A76" s="494">
        <v>21</v>
      </c>
      <c r="B76" s="87" t="s">
        <v>172</v>
      </c>
      <c r="C76" s="136" t="s">
        <v>607</v>
      </c>
      <c r="D76" s="109" t="s">
        <v>11</v>
      </c>
      <c r="E76" s="110" t="s">
        <v>34</v>
      </c>
      <c r="F76" s="45"/>
      <c r="G76" s="110"/>
      <c r="H76" s="507"/>
      <c r="I76" s="110">
        <f>E77</f>
        <v>9.5</v>
      </c>
      <c r="J76" s="130"/>
      <c r="K76" s="44"/>
      <c r="L76" s="44"/>
      <c r="M76" s="1"/>
      <c r="N76" s="516">
        <f t="shared" si="5"/>
        <v>0</v>
      </c>
    </row>
    <row r="77" spans="1:14" s="3" customFormat="1" ht="30" customHeight="1" hidden="1">
      <c r="A77" s="494"/>
      <c r="B77" s="98"/>
      <c r="C77" s="137" t="s">
        <v>608</v>
      </c>
      <c r="D77" s="104" t="s">
        <v>11</v>
      </c>
      <c r="E77" s="105">
        <f>10.5-1</f>
        <v>9.5</v>
      </c>
      <c r="F77" s="498"/>
      <c r="G77" s="105"/>
      <c r="H77" s="508"/>
      <c r="I77" s="105" t="s">
        <v>34</v>
      </c>
      <c r="J77" s="130"/>
      <c r="K77" s="44"/>
      <c r="L77" s="44"/>
      <c r="M77" s="1"/>
      <c r="N77" s="516">
        <f t="shared" si="5"/>
        <v>0</v>
      </c>
    </row>
    <row r="78" spans="1:14" s="3" customFormat="1" ht="18" customHeight="1" hidden="1">
      <c r="A78" s="85" t="s">
        <v>34</v>
      </c>
      <c r="B78" s="85" t="s">
        <v>102</v>
      </c>
      <c r="C78" s="814" t="s">
        <v>609</v>
      </c>
      <c r="D78" s="814"/>
      <c r="E78" s="814"/>
      <c r="F78" s="814"/>
      <c r="G78" s="814"/>
      <c r="H78" s="814"/>
      <c r="I78" s="814"/>
      <c r="J78" s="130"/>
      <c r="K78" s="44"/>
      <c r="L78" s="44"/>
      <c r="M78" s="525"/>
      <c r="N78" s="516">
        <f t="shared" si="5"/>
        <v>0</v>
      </c>
    </row>
    <row r="79" spans="1:14" s="3" customFormat="1" ht="38.25" customHeight="1" hidden="1">
      <c r="A79" s="494">
        <v>22</v>
      </c>
      <c r="B79" s="87" t="s">
        <v>610</v>
      </c>
      <c r="C79" s="136" t="s">
        <v>655</v>
      </c>
      <c r="D79" s="109" t="s">
        <v>11</v>
      </c>
      <c r="E79" s="110" t="s">
        <v>34</v>
      </c>
      <c r="F79" s="45"/>
      <c r="G79" s="110"/>
      <c r="H79" s="507"/>
      <c r="I79" s="110">
        <f>E80</f>
        <v>244</v>
      </c>
      <c r="J79" s="130"/>
      <c r="K79" s="44"/>
      <c r="L79" s="44"/>
      <c r="M79" s="525"/>
      <c r="N79" s="516">
        <f t="shared" si="5"/>
        <v>0</v>
      </c>
    </row>
    <row r="80" spans="1:16" s="3" customFormat="1" ht="69.75" customHeight="1" hidden="1">
      <c r="A80" s="494"/>
      <c r="B80" s="98"/>
      <c r="C80" s="137" t="s">
        <v>656</v>
      </c>
      <c r="D80" s="104" t="s">
        <v>11</v>
      </c>
      <c r="E80" s="105">
        <f>46+31+45+38+41+43</f>
        <v>244</v>
      </c>
      <c r="F80" s="498"/>
      <c r="G80" s="105"/>
      <c r="H80" s="508"/>
      <c r="I80" s="105" t="s">
        <v>34</v>
      </c>
      <c r="J80" s="130"/>
      <c r="K80" s="44"/>
      <c r="L80" s="44"/>
      <c r="M80" s="525"/>
      <c r="N80" s="516">
        <f t="shared" si="5"/>
        <v>0</v>
      </c>
      <c r="P80" s="3">
        <f>38+41+43</f>
        <v>122</v>
      </c>
    </row>
    <row r="81" spans="1:14" s="3" customFormat="1" ht="17.25" customHeight="1" hidden="1">
      <c r="A81" s="493" t="s">
        <v>611</v>
      </c>
      <c r="B81" s="94" t="str">
        <f>B79</f>
        <v>03.02.01.28</v>
      </c>
      <c r="C81" s="90" t="s">
        <v>175</v>
      </c>
      <c r="D81" s="91" t="s">
        <v>34</v>
      </c>
      <c r="E81" s="92" t="s">
        <v>34</v>
      </c>
      <c r="F81" s="499"/>
      <c r="G81" s="92"/>
      <c r="H81" s="506"/>
      <c r="I81" s="92" t="s">
        <v>34</v>
      </c>
      <c r="J81" s="130"/>
      <c r="K81" s="44"/>
      <c r="L81" s="44"/>
      <c r="M81" s="525"/>
      <c r="N81" s="516">
        <f t="shared" si="5"/>
        <v>0</v>
      </c>
    </row>
    <row r="82" spans="1:15" s="3" customFormat="1" ht="26.25" customHeight="1" hidden="1">
      <c r="A82" s="109"/>
      <c r="B82" s="200"/>
      <c r="C82" s="199" t="s">
        <v>259</v>
      </c>
      <c r="D82" s="197" t="s">
        <v>300</v>
      </c>
      <c r="E82" s="198">
        <f>0.18*1</f>
        <v>0.18</v>
      </c>
      <c r="F82" s="500"/>
      <c r="G82" s="198"/>
      <c r="H82" s="509"/>
      <c r="I82" s="198">
        <f>E82</f>
        <v>0.18</v>
      </c>
      <c r="J82" s="130"/>
      <c r="K82" s="44"/>
      <c r="L82" s="44"/>
      <c r="M82" s="525"/>
      <c r="N82" s="516">
        <f t="shared" si="5"/>
        <v>0</v>
      </c>
      <c r="O82" s="418"/>
    </row>
    <row r="83" spans="1:15" s="3" customFormat="1" ht="30.75" customHeight="1" hidden="1">
      <c r="A83" s="109"/>
      <c r="B83" s="200"/>
      <c r="C83" s="196" t="s">
        <v>178</v>
      </c>
      <c r="D83" s="197" t="s">
        <v>300</v>
      </c>
      <c r="E83" s="198">
        <f>1*(1.5*0.85-3.14*0.325*0.325)</f>
        <v>0.94</v>
      </c>
      <c r="F83" s="500"/>
      <c r="G83" s="198"/>
      <c r="H83" s="509"/>
      <c r="I83" s="198">
        <f>E83</f>
        <v>0.94</v>
      </c>
      <c r="J83" s="130"/>
      <c r="K83" s="44"/>
      <c r="L83" s="44"/>
      <c r="M83" s="525"/>
      <c r="N83" s="516">
        <f t="shared" si="5"/>
        <v>0</v>
      </c>
      <c r="O83" s="418"/>
    </row>
    <row r="84" spans="1:15" s="3" customFormat="1" ht="18" customHeight="1" hidden="1">
      <c r="A84" s="493"/>
      <c r="B84" s="94"/>
      <c r="C84" s="201" t="s">
        <v>657</v>
      </c>
      <c r="D84" s="202" t="s">
        <v>11</v>
      </c>
      <c r="E84" s="203">
        <v>1</v>
      </c>
      <c r="F84" s="501"/>
      <c r="G84" s="203"/>
      <c r="H84" s="510"/>
      <c r="I84" s="203">
        <v>1</v>
      </c>
      <c r="J84" s="130"/>
      <c r="K84" s="44"/>
      <c r="L84" s="44"/>
      <c r="M84" s="525"/>
      <c r="N84" s="516">
        <f t="shared" si="5"/>
        <v>0</v>
      </c>
      <c r="O84" s="418"/>
    </row>
    <row r="85" spans="1:14" s="3" customFormat="1" ht="18" customHeight="1" hidden="1">
      <c r="A85" s="494">
        <v>22</v>
      </c>
      <c r="B85" s="87" t="s">
        <v>124</v>
      </c>
      <c r="C85" s="136" t="s">
        <v>176</v>
      </c>
      <c r="D85" s="109" t="s">
        <v>11</v>
      </c>
      <c r="E85" s="110" t="s">
        <v>34</v>
      </c>
      <c r="F85" s="45"/>
      <c r="G85" s="110"/>
      <c r="H85" s="507"/>
      <c r="I85" s="110">
        <f>E86</f>
        <v>33.5</v>
      </c>
      <c r="J85" s="130"/>
      <c r="K85" s="44"/>
      <c r="L85" s="44"/>
      <c r="M85" s="525"/>
      <c r="N85" s="516">
        <f t="shared" si="5"/>
        <v>0</v>
      </c>
    </row>
    <row r="86" spans="1:14" s="3" customFormat="1" ht="81.75" customHeight="1" hidden="1">
      <c r="A86" s="494"/>
      <c r="B86" s="98"/>
      <c r="C86" s="137" t="s">
        <v>612</v>
      </c>
      <c r="D86" s="104" t="s">
        <v>11</v>
      </c>
      <c r="E86" s="105">
        <f>3.5+7+2.5+8+3+3+3+3.5</f>
        <v>33.5</v>
      </c>
      <c r="F86" s="498"/>
      <c r="G86" s="105"/>
      <c r="H86" s="508"/>
      <c r="I86" s="105" t="s">
        <v>34</v>
      </c>
      <c r="J86" s="130"/>
      <c r="K86" s="44"/>
      <c r="L86" s="44"/>
      <c r="M86" s="525"/>
      <c r="N86" s="516">
        <f t="shared" si="5"/>
        <v>0</v>
      </c>
    </row>
    <row r="87" spans="1:14" s="3" customFormat="1" ht="27.75" customHeight="1" hidden="1">
      <c r="A87" s="494">
        <v>23</v>
      </c>
      <c r="B87" s="87" t="s">
        <v>613</v>
      </c>
      <c r="C87" s="136" t="s">
        <v>658</v>
      </c>
      <c r="D87" s="109" t="s">
        <v>12</v>
      </c>
      <c r="E87" s="110" t="s">
        <v>34</v>
      </c>
      <c r="F87" s="45"/>
      <c r="G87" s="110"/>
      <c r="H87" s="507"/>
      <c r="I87" s="110">
        <f>E88</f>
        <v>6</v>
      </c>
      <c r="J87" s="130"/>
      <c r="K87" s="44"/>
      <c r="L87" s="44"/>
      <c r="M87" s="525"/>
      <c r="N87" s="516">
        <f t="shared" si="5"/>
        <v>0</v>
      </c>
    </row>
    <row r="88" spans="1:14" s="3" customFormat="1" ht="78.75" customHeight="1" hidden="1">
      <c r="A88" s="494"/>
      <c r="B88" s="98"/>
      <c r="C88" s="137" t="s">
        <v>614</v>
      </c>
      <c r="D88" s="104" t="s">
        <v>12</v>
      </c>
      <c r="E88" s="105">
        <f>2+4</f>
        <v>6</v>
      </c>
      <c r="F88" s="498"/>
      <c r="G88" s="105"/>
      <c r="H88" s="508"/>
      <c r="I88" s="105" t="s">
        <v>34</v>
      </c>
      <c r="J88" s="130"/>
      <c r="K88" s="44"/>
      <c r="L88" s="44"/>
      <c r="M88" s="525"/>
      <c r="N88" s="516">
        <f t="shared" si="5"/>
        <v>0</v>
      </c>
    </row>
    <row r="89" spans="1:14" s="3" customFormat="1" ht="29.25" customHeight="1" hidden="1">
      <c r="A89" s="494">
        <v>24</v>
      </c>
      <c r="B89" s="87" t="s">
        <v>615</v>
      </c>
      <c r="C89" s="136" t="s">
        <v>659</v>
      </c>
      <c r="D89" s="109" t="s">
        <v>12</v>
      </c>
      <c r="E89" s="110" t="s">
        <v>34</v>
      </c>
      <c r="F89" s="45"/>
      <c r="G89" s="110"/>
      <c r="H89" s="507"/>
      <c r="I89" s="110">
        <f>E90</f>
        <v>1</v>
      </c>
      <c r="J89" s="130"/>
      <c r="K89" s="44"/>
      <c r="L89" s="44"/>
      <c r="M89" s="525"/>
      <c r="N89" s="516">
        <f t="shared" si="5"/>
        <v>0</v>
      </c>
    </row>
    <row r="90" spans="1:14" s="3" customFormat="1" ht="71.25" customHeight="1" hidden="1">
      <c r="A90" s="494"/>
      <c r="B90" s="98"/>
      <c r="C90" s="137" t="s">
        <v>616</v>
      </c>
      <c r="D90" s="104" t="s">
        <v>12</v>
      </c>
      <c r="E90" s="105">
        <v>1</v>
      </c>
      <c r="F90" s="498"/>
      <c r="G90" s="105"/>
      <c r="H90" s="508"/>
      <c r="I90" s="105" t="s">
        <v>34</v>
      </c>
      <c r="J90" s="130"/>
      <c r="K90" s="44"/>
      <c r="L90" s="44"/>
      <c r="M90" s="525"/>
      <c r="N90" s="516">
        <f t="shared" si="5"/>
        <v>0</v>
      </c>
    </row>
    <row r="91" spans="1:14" s="3" customFormat="1" ht="18" customHeight="1" hidden="1">
      <c r="A91" s="494">
        <v>25</v>
      </c>
      <c r="B91" s="87" t="s">
        <v>177</v>
      </c>
      <c r="C91" s="136" t="s">
        <v>309</v>
      </c>
      <c r="D91" s="109" t="s">
        <v>12</v>
      </c>
      <c r="E91" s="110" t="s">
        <v>34</v>
      </c>
      <c r="F91" s="45"/>
      <c r="G91" s="110"/>
      <c r="H91" s="507"/>
      <c r="I91" s="110">
        <f>E92</f>
        <v>8</v>
      </c>
      <c r="J91" s="130"/>
      <c r="K91" s="44"/>
      <c r="L91" s="44"/>
      <c r="M91" s="525"/>
      <c r="N91" s="516">
        <f t="shared" si="5"/>
        <v>0</v>
      </c>
    </row>
    <row r="92" spans="1:14" s="3" customFormat="1" ht="93.75" customHeight="1" hidden="1">
      <c r="A92" s="494"/>
      <c r="B92" s="98"/>
      <c r="C92" s="137" t="s">
        <v>617</v>
      </c>
      <c r="D92" s="104" t="s">
        <v>12</v>
      </c>
      <c r="E92" s="105">
        <f>8</f>
        <v>8</v>
      </c>
      <c r="F92" s="498"/>
      <c r="G92" s="105"/>
      <c r="H92" s="508"/>
      <c r="I92" s="105" t="s">
        <v>34</v>
      </c>
      <c r="J92" s="130"/>
      <c r="K92" s="44"/>
      <c r="L92" s="44"/>
      <c r="M92" s="525"/>
      <c r="N92" s="516">
        <f t="shared" si="5"/>
        <v>0</v>
      </c>
    </row>
    <row r="93" spans="1:14" s="3" customFormat="1" ht="29.25" customHeight="1">
      <c r="A93" s="97">
        <v>8</v>
      </c>
      <c r="B93" s="98" t="s">
        <v>788</v>
      </c>
      <c r="C93" s="99" t="s">
        <v>789</v>
      </c>
      <c r="D93" s="97" t="s">
        <v>9</v>
      </c>
      <c r="E93" s="101" t="s">
        <v>34</v>
      </c>
      <c r="F93" s="496">
        <f>I93</f>
        <v>2</v>
      </c>
      <c r="G93" s="101">
        <v>20</v>
      </c>
      <c r="H93" s="507">
        <f>G93*F93</f>
        <v>40</v>
      </c>
      <c r="I93" s="101">
        <v>2</v>
      </c>
      <c r="J93" s="130"/>
      <c r="K93" s="44"/>
      <c r="L93" s="44"/>
      <c r="M93" s="525"/>
      <c r="N93" s="516">
        <f t="shared" si="5"/>
        <v>40</v>
      </c>
    </row>
    <row r="94" spans="1:14" s="3" customFormat="1" ht="81" customHeight="1" hidden="1">
      <c r="A94" s="493"/>
      <c r="B94" s="94"/>
      <c r="C94" s="90" t="s">
        <v>797</v>
      </c>
      <c r="D94" s="91" t="s">
        <v>9</v>
      </c>
      <c r="E94" s="92">
        <v>2</v>
      </c>
      <c r="F94" s="496" t="str">
        <f>I94</f>
        <v>x</v>
      </c>
      <c r="G94" s="92"/>
      <c r="H94" s="506"/>
      <c r="I94" s="92" t="s">
        <v>34</v>
      </c>
      <c r="J94" s="130"/>
      <c r="K94" s="44"/>
      <c r="L94" s="44"/>
      <c r="M94" s="525"/>
      <c r="N94" s="516">
        <f t="shared" si="5"/>
        <v>0</v>
      </c>
    </row>
    <row r="95" spans="1:14" s="3" customFormat="1" ht="31.5" customHeight="1">
      <c r="A95" s="844" t="s">
        <v>802</v>
      </c>
      <c r="B95" s="844"/>
      <c r="C95" s="844"/>
      <c r="D95" s="844"/>
      <c r="E95" s="844"/>
      <c r="F95" s="844"/>
      <c r="G95" s="844"/>
      <c r="H95" s="529">
        <f>H32+H38+H41+H47+H50+H52+H93</f>
        <v>28167.06</v>
      </c>
      <c r="I95" s="92"/>
      <c r="J95" s="130"/>
      <c r="K95" s="44"/>
      <c r="L95" s="44"/>
      <c r="M95" s="525"/>
      <c r="N95" s="516"/>
    </row>
    <row r="96" spans="1:14" s="3" customFormat="1" ht="27" customHeight="1">
      <c r="A96" s="25" t="s">
        <v>62</v>
      </c>
      <c r="B96" s="25" t="s">
        <v>61</v>
      </c>
      <c r="C96" s="848" t="s">
        <v>204</v>
      </c>
      <c r="D96" s="848"/>
      <c r="E96" s="848"/>
      <c r="F96" s="848"/>
      <c r="G96" s="848"/>
      <c r="H96" s="848"/>
      <c r="I96" s="848"/>
      <c r="J96" s="130"/>
      <c r="K96" s="44"/>
      <c r="L96" s="44"/>
      <c r="M96" s="525"/>
      <c r="N96" s="516">
        <f t="shared" si="5"/>
        <v>0</v>
      </c>
    </row>
    <row r="97" spans="1:14" s="1" customFormat="1" ht="18" customHeight="1">
      <c r="A97" s="85" t="s">
        <v>34</v>
      </c>
      <c r="B97" s="85" t="s">
        <v>107</v>
      </c>
      <c r="C97" s="814" t="s">
        <v>108</v>
      </c>
      <c r="D97" s="814"/>
      <c r="E97" s="814"/>
      <c r="F97" s="814"/>
      <c r="G97" s="814"/>
      <c r="H97" s="814"/>
      <c r="I97" s="814"/>
      <c r="J97" s="133"/>
      <c r="K97" s="849"/>
      <c r="L97" s="849"/>
      <c r="M97" s="525"/>
      <c r="N97" s="516">
        <f t="shared" si="5"/>
        <v>0</v>
      </c>
    </row>
    <row r="98" spans="1:14" s="1" customFormat="1" ht="27.75" customHeight="1">
      <c r="A98" s="109">
        <v>9</v>
      </c>
      <c r="B98" s="112" t="s">
        <v>261</v>
      </c>
      <c r="C98" s="139" t="s">
        <v>262</v>
      </c>
      <c r="D98" s="109" t="s">
        <v>199</v>
      </c>
      <c r="E98" s="110" t="s">
        <v>34</v>
      </c>
      <c r="F98" s="496">
        <f>I98</f>
        <v>20</v>
      </c>
      <c r="G98" s="110">
        <v>2.55</v>
      </c>
      <c r="H98" s="507">
        <f>G98*F98</f>
        <v>51</v>
      </c>
      <c r="I98" s="110">
        <f>E99</f>
        <v>20</v>
      </c>
      <c r="J98" s="133"/>
      <c r="K98" s="132"/>
      <c r="L98" s="132"/>
      <c r="M98" s="525"/>
      <c r="N98" s="516">
        <f t="shared" si="5"/>
        <v>51</v>
      </c>
    </row>
    <row r="99" spans="1:14" s="1" customFormat="1" ht="69" customHeight="1" hidden="1">
      <c r="A99" s="109"/>
      <c r="B99" s="112"/>
      <c r="C99" s="138" t="s">
        <v>764</v>
      </c>
      <c r="D99" s="111" t="s">
        <v>200</v>
      </c>
      <c r="E99" s="107">
        <v>20</v>
      </c>
      <c r="F99" s="496" t="str">
        <f>I99</f>
        <v>x</v>
      </c>
      <c r="G99" s="107"/>
      <c r="H99" s="508"/>
      <c r="I99" s="107" t="s">
        <v>34</v>
      </c>
      <c r="J99" s="133"/>
      <c r="K99" s="132"/>
      <c r="L99" s="132"/>
      <c r="M99" s="526"/>
      <c r="N99" s="516">
        <f t="shared" si="5"/>
        <v>0</v>
      </c>
    </row>
    <row r="100" spans="1:14" s="1" customFormat="1" ht="18.75" customHeight="1">
      <c r="A100" s="85" t="s">
        <v>34</v>
      </c>
      <c r="B100" s="85" t="s">
        <v>125</v>
      </c>
      <c r="C100" s="814" t="s">
        <v>126</v>
      </c>
      <c r="D100" s="814"/>
      <c r="E100" s="814"/>
      <c r="F100" s="814"/>
      <c r="G100" s="814"/>
      <c r="H100" s="814"/>
      <c r="I100" s="814"/>
      <c r="J100" s="133"/>
      <c r="K100" s="132"/>
      <c r="L100" s="132"/>
      <c r="M100" s="525"/>
      <c r="N100" s="516">
        <f t="shared" si="5"/>
        <v>0</v>
      </c>
    </row>
    <row r="101" spans="1:14" s="1" customFormat="1" ht="21" customHeight="1">
      <c r="A101" s="109">
        <v>10</v>
      </c>
      <c r="B101" s="112" t="s">
        <v>179</v>
      </c>
      <c r="C101" s="139" t="s">
        <v>720</v>
      </c>
      <c r="D101" s="109" t="s">
        <v>199</v>
      </c>
      <c r="E101" s="110" t="s">
        <v>34</v>
      </c>
      <c r="F101" s="496">
        <f>I101</f>
        <v>713.55</v>
      </c>
      <c r="G101" s="110">
        <v>19.2</v>
      </c>
      <c r="H101" s="507">
        <f>G101*F101</f>
        <v>13700.16</v>
      </c>
      <c r="I101" s="110">
        <f>E102</f>
        <v>713.55</v>
      </c>
      <c r="J101" s="133"/>
      <c r="K101" s="132"/>
      <c r="L101" s="132"/>
      <c r="M101" s="525"/>
      <c r="N101" s="516">
        <f t="shared" si="5"/>
        <v>13700.16</v>
      </c>
    </row>
    <row r="102" spans="1:21" s="1" customFormat="1" ht="95.25" customHeight="1" hidden="1">
      <c r="A102" s="109"/>
      <c r="B102" s="112"/>
      <c r="C102" s="138" t="s">
        <v>777</v>
      </c>
      <c r="D102" s="111" t="s">
        <v>200</v>
      </c>
      <c r="E102" s="107">
        <f>520.84+192.71</f>
        <v>713.55</v>
      </c>
      <c r="F102" s="496" t="str">
        <f>I102</f>
        <v>x</v>
      </c>
      <c r="G102" s="107"/>
      <c r="H102" s="508"/>
      <c r="I102" s="107" t="s">
        <v>34</v>
      </c>
      <c r="J102" s="133"/>
      <c r="K102" s="132"/>
      <c r="L102" s="132"/>
      <c r="N102" s="516">
        <f t="shared" si="5"/>
        <v>0</v>
      </c>
      <c r="P102" s="1">
        <f>(624.29-156.21)*1.07</f>
        <v>500.8456</v>
      </c>
      <c r="Q102" s="1">
        <f>98.2*1.1</f>
        <v>108.02</v>
      </c>
      <c r="S102" s="1">
        <f>262.46+172.78</f>
        <v>435.24</v>
      </c>
      <c r="U102" s="1">
        <f>(411-97)+(388.5-72)</f>
        <v>630.5</v>
      </c>
    </row>
    <row r="103" spans="1:14" s="1" customFormat="1" ht="19.5" customHeight="1" hidden="1">
      <c r="A103" s="85" t="s">
        <v>34</v>
      </c>
      <c r="B103" s="85" t="s">
        <v>17</v>
      </c>
      <c r="C103" s="814" t="s">
        <v>18</v>
      </c>
      <c r="D103" s="814"/>
      <c r="E103" s="814"/>
      <c r="F103" s="814"/>
      <c r="G103" s="814"/>
      <c r="H103" s="814"/>
      <c r="I103" s="814"/>
      <c r="J103" s="133"/>
      <c r="K103" s="132"/>
      <c r="L103" s="132"/>
      <c r="N103" s="516">
        <f t="shared" si="5"/>
        <v>0</v>
      </c>
    </row>
    <row r="104" spans="1:14" s="1" customFormat="1" ht="19.5" customHeight="1" hidden="1">
      <c r="A104" s="109">
        <v>28</v>
      </c>
      <c r="B104" s="113" t="s">
        <v>622</v>
      </c>
      <c r="C104" s="139" t="s">
        <v>621</v>
      </c>
      <c r="D104" s="109" t="s">
        <v>199</v>
      </c>
      <c r="E104" s="110" t="s">
        <v>34</v>
      </c>
      <c r="F104" s="45"/>
      <c r="G104" s="110"/>
      <c r="H104" s="507"/>
      <c r="I104" s="110">
        <f>E105</f>
        <v>424.62</v>
      </c>
      <c r="J104" s="133"/>
      <c r="K104" s="132"/>
      <c r="L104" s="132"/>
      <c r="N104" s="516">
        <f t="shared" si="5"/>
        <v>0</v>
      </c>
    </row>
    <row r="105" spans="1:19" s="1" customFormat="1" ht="89.25" customHeight="1" hidden="1">
      <c r="A105" s="111"/>
      <c r="B105" s="114"/>
      <c r="C105" s="138" t="s">
        <v>623</v>
      </c>
      <c r="D105" s="111" t="s">
        <v>200</v>
      </c>
      <c r="E105" s="107">
        <f>114+89.2+135.91+85.51</f>
        <v>424.62</v>
      </c>
      <c r="F105" s="502"/>
      <c r="G105" s="107"/>
      <c r="H105" s="508"/>
      <c r="I105" s="107" t="s">
        <v>34</v>
      </c>
      <c r="J105" s="133"/>
      <c r="K105" s="132"/>
      <c r="L105" s="132"/>
      <c r="N105" s="516">
        <f t="shared" si="5"/>
        <v>0</v>
      </c>
      <c r="P105" s="1">
        <f>114</f>
        <v>114</v>
      </c>
      <c r="Q105" s="1">
        <f>98.2</f>
        <v>98.2</v>
      </c>
      <c r="R105" s="1">
        <v>135.91</v>
      </c>
      <c r="S105" s="1">
        <v>85.51</v>
      </c>
    </row>
    <row r="106" spans="1:14" s="8" customFormat="1" ht="18.75" customHeight="1" hidden="1">
      <c r="A106" s="109">
        <v>29</v>
      </c>
      <c r="B106" s="113" t="s">
        <v>183</v>
      </c>
      <c r="C106" s="139" t="s">
        <v>624</v>
      </c>
      <c r="D106" s="109" t="s">
        <v>199</v>
      </c>
      <c r="E106" s="110" t="s">
        <v>34</v>
      </c>
      <c r="F106" s="45"/>
      <c r="G106" s="110"/>
      <c r="H106" s="507"/>
      <c r="I106" s="110">
        <f>E107</f>
        <v>203.2</v>
      </c>
      <c r="J106" s="140"/>
      <c r="K106" s="801"/>
      <c r="L106" s="801"/>
      <c r="M106" s="1"/>
      <c r="N106" s="516">
        <f t="shared" si="5"/>
        <v>0</v>
      </c>
    </row>
    <row r="107" spans="1:14" s="11" customFormat="1" ht="43.5" customHeight="1" hidden="1">
      <c r="A107" s="111"/>
      <c r="B107" s="114"/>
      <c r="C107" s="138" t="s">
        <v>625</v>
      </c>
      <c r="D107" s="111" t="s">
        <v>200</v>
      </c>
      <c r="E107" s="107">
        <f>203.2</f>
        <v>203.2</v>
      </c>
      <c r="F107" s="502"/>
      <c r="G107" s="107"/>
      <c r="H107" s="508"/>
      <c r="I107" s="107" t="s">
        <v>34</v>
      </c>
      <c r="J107" s="141"/>
      <c r="K107" s="43">
        <v>1.26</v>
      </c>
      <c r="L107" s="43">
        <f>K107*I106</f>
        <v>256.03</v>
      </c>
      <c r="M107" s="1"/>
      <c r="N107" s="516">
        <f t="shared" si="5"/>
        <v>0</v>
      </c>
    </row>
    <row r="108" spans="1:14" s="11" customFormat="1" ht="18.75" customHeight="1" hidden="1">
      <c r="A108" s="109">
        <v>30</v>
      </c>
      <c r="B108" s="112" t="s">
        <v>184</v>
      </c>
      <c r="C108" s="139" t="s">
        <v>185</v>
      </c>
      <c r="D108" s="109" t="s">
        <v>199</v>
      </c>
      <c r="E108" s="110" t="s">
        <v>34</v>
      </c>
      <c r="F108" s="45"/>
      <c r="G108" s="110"/>
      <c r="H108" s="507"/>
      <c r="I108" s="110">
        <f>E109</f>
        <v>424.62</v>
      </c>
      <c r="J108" s="141"/>
      <c r="K108" s="43"/>
      <c r="L108" s="43"/>
      <c r="M108" s="1"/>
      <c r="N108" s="516">
        <f t="shared" si="5"/>
        <v>0</v>
      </c>
    </row>
    <row r="109" spans="1:14" s="11" customFormat="1" ht="94.5" customHeight="1" hidden="1">
      <c r="A109" s="109"/>
      <c r="B109" s="114"/>
      <c r="C109" s="186" t="s">
        <v>626</v>
      </c>
      <c r="D109" s="111" t="s">
        <v>200</v>
      </c>
      <c r="E109" s="107">
        <f>E105</f>
        <v>424.62</v>
      </c>
      <c r="F109" s="502"/>
      <c r="G109" s="107"/>
      <c r="H109" s="508"/>
      <c r="I109" s="110" t="s">
        <v>34</v>
      </c>
      <c r="J109" s="141"/>
      <c r="K109" s="43"/>
      <c r="L109" s="43"/>
      <c r="M109" s="1"/>
      <c r="N109" s="516">
        <f t="shared" si="5"/>
        <v>0</v>
      </c>
    </row>
    <row r="110" spans="1:14" s="8" customFormat="1" ht="17.25" customHeight="1" hidden="1">
      <c r="A110" s="109">
        <v>31</v>
      </c>
      <c r="B110" s="112" t="s">
        <v>78</v>
      </c>
      <c r="C110" s="139" t="s">
        <v>77</v>
      </c>
      <c r="D110" s="109" t="s">
        <v>199</v>
      </c>
      <c r="E110" s="110" t="s">
        <v>34</v>
      </c>
      <c r="F110" s="45"/>
      <c r="G110" s="110"/>
      <c r="H110" s="507"/>
      <c r="I110" s="110">
        <f>E111</f>
        <v>203.2</v>
      </c>
      <c r="J110" s="134"/>
      <c r="K110" s="45"/>
      <c r="L110" s="45"/>
      <c r="M110" s="1"/>
      <c r="N110" s="516">
        <f t="shared" si="5"/>
        <v>0</v>
      </c>
    </row>
    <row r="111" spans="1:14" s="8" customFormat="1" ht="42" customHeight="1" hidden="1">
      <c r="A111" s="109"/>
      <c r="B111" s="114"/>
      <c r="C111" s="138" t="s">
        <v>627</v>
      </c>
      <c r="D111" s="111" t="s">
        <v>200</v>
      </c>
      <c r="E111" s="107">
        <f>E107</f>
        <v>203.2</v>
      </c>
      <c r="F111" s="502"/>
      <c r="G111" s="107"/>
      <c r="H111" s="508"/>
      <c r="I111" s="110" t="s">
        <v>34</v>
      </c>
      <c r="J111" s="134"/>
      <c r="K111" s="45"/>
      <c r="L111" s="45"/>
      <c r="M111" s="1"/>
      <c r="N111" s="516">
        <f t="shared" si="5"/>
        <v>0</v>
      </c>
    </row>
    <row r="112" spans="1:14" s="8" customFormat="1" ht="18" customHeight="1">
      <c r="A112" s="85" t="s">
        <v>34</v>
      </c>
      <c r="B112" s="85" t="s">
        <v>19</v>
      </c>
      <c r="C112" s="814" t="s">
        <v>20</v>
      </c>
      <c r="D112" s="814"/>
      <c r="E112" s="814"/>
      <c r="F112" s="814"/>
      <c r="G112" s="814"/>
      <c r="H112" s="814"/>
      <c r="I112" s="814"/>
      <c r="J112" s="134"/>
      <c r="K112" s="45"/>
      <c r="L112" s="45"/>
      <c r="M112" s="1"/>
      <c r="N112" s="516">
        <f t="shared" si="5"/>
        <v>0</v>
      </c>
    </row>
    <row r="113" spans="1:14" s="8" customFormat="1" ht="30" customHeight="1">
      <c r="A113" s="109">
        <v>11</v>
      </c>
      <c r="B113" s="113" t="s">
        <v>633</v>
      </c>
      <c r="C113" s="142" t="s">
        <v>634</v>
      </c>
      <c r="D113" s="109" t="s">
        <v>199</v>
      </c>
      <c r="E113" s="110" t="s">
        <v>34</v>
      </c>
      <c r="F113" s="496">
        <f>I113</f>
        <v>520.84</v>
      </c>
      <c r="G113" s="110">
        <v>21.5</v>
      </c>
      <c r="H113" s="507">
        <f>G113*F113</f>
        <v>11198.06</v>
      </c>
      <c r="I113" s="110">
        <f>SUM(E114:E114)</f>
        <v>520.84</v>
      </c>
      <c r="J113" s="134"/>
      <c r="K113" s="45"/>
      <c r="L113" s="45"/>
      <c r="M113" s="1"/>
      <c r="N113" s="516">
        <f t="shared" si="5"/>
        <v>11198.06</v>
      </c>
    </row>
    <row r="114" spans="1:14" s="8" customFormat="1" ht="51.75" customHeight="1" hidden="1">
      <c r="A114" s="109"/>
      <c r="B114" s="114"/>
      <c r="C114" s="138" t="s">
        <v>772</v>
      </c>
      <c r="D114" s="111" t="s">
        <v>200</v>
      </c>
      <c r="E114" s="107">
        <v>520.84</v>
      </c>
      <c r="F114" s="496" t="str">
        <f>I114</f>
        <v>x</v>
      </c>
      <c r="G114" s="107"/>
      <c r="H114" s="508"/>
      <c r="I114" s="110" t="s">
        <v>34</v>
      </c>
      <c r="J114" s="134"/>
      <c r="K114" s="45"/>
      <c r="L114" s="45"/>
      <c r="M114" s="1"/>
      <c r="N114" s="516">
        <f t="shared" si="5"/>
        <v>0</v>
      </c>
    </row>
    <row r="115" spans="1:14" s="8" customFormat="1" ht="29.25" customHeight="1" hidden="1">
      <c r="A115" s="109">
        <v>33</v>
      </c>
      <c r="B115" s="113" t="s">
        <v>628</v>
      </c>
      <c r="C115" s="142" t="s">
        <v>629</v>
      </c>
      <c r="D115" s="109" t="s">
        <v>199</v>
      </c>
      <c r="E115" s="110" t="s">
        <v>34</v>
      </c>
      <c r="F115" s="45"/>
      <c r="G115" s="110"/>
      <c r="H115" s="507"/>
      <c r="I115" s="110">
        <f>SUM(E116:E116)</f>
        <v>203.2</v>
      </c>
      <c r="J115" s="140"/>
      <c r="K115" s="801"/>
      <c r="L115" s="801"/>
      <c r="N115" s="516">
        <f t="shared" si="5"/>
        <v>0</v>
      </c>
    </row>
    <row r="116" spans="1:14" s="8" customFormat="1" ht="47.25" customHeight="1" hidden="1">
      <c r="A116" s="109"/>
      <c r="B116" s="114"/>
      <c r="C116" s="138" t="s">
        <v>630</v>
      </c>
      <c r="D116" s="111" t="s">
        <v>200</v>
      </c>
      <c r="E116" s="107">
        <f>114+89.2</f>
        <v>203.2</v>
      </c>
      <c r="F116" s="502"/>
      <c r="G116" s="107"/>
      <c r="H116" s="508"/>
      <c r="I116" s="110" t="s">
        <v>34</v>
      </c>
      <c r="J116" s="140"/>
      <c r="K116" s="461"/>
      <c r="L116" s="461"/>
      <c r="N116" s="516">
        <f t="shared" si="5"/>
        <v>0</v>
      </c>
    </row>
    <row r="117" spans="1:14" s="8" customFormat="1" ht="21" customHeight="1">
      <c r="A117" s="85" t="s">
        <v>34</v>
      </c>
      <c r="B117" s="85" t="s">
        <v>188</v>
      </c>
      <c r="C117" s="814" t="s">
        <v>631</v>
      </c>
      <c r="D117" s="814"/>
      <c r="E117" s="814"/>
      <c r="F117" s="814"/>
      <c r="G117" s="814"/>
      <c r="H117" s="814"/>
      <c r="I117" s="814"/>
      <c r="J117" s="140"/>
      <c r="K117" s="461"/>
      <c r="L117" s="461"/>
      <c r="N117" s="516">
        <f t="shared" si="5"/>
        <v>0</v>
      </c>
    </row>
    <row r="118" spans="1:14" s="8" customFormat="1" ht="30.75" customHeight="1">
      <c r="A118" s="109">
        <v>12</v>
      </c>
      <c r="B118" s="113" t="s">
        <v>267</v>
      </c>
      <c r="C118" s="142" t="s">
        <v>632</v>
      </c>
      <c r="D118" s="109" t="s">
        <v>199</v>
      </c>
      <c r="E118" s="110" t="s">
        <v>34</v>
      </c>
      <c r="F118" s="496">
        <f>I118</f>
        <v>192.71</v>
      </c>
      <c r="G118" s="110">
        <v>23.45</v>
      </c>
      <c r="H118" s="507">
        <f>G118*F118</f>
        <v>4519.05</v>
      </c>
      <c r="I118" s="110">
        <f>SUM(E119:E119)</f>
        <v>192.71</v>
      </c>
      <c r="J118" s="140"/>
      <c r="K118" s="461"/>
      <c r="L118" s="461"/>
      <c r="N118" s="516">
        <f t="shared" si="5"/>
        <v>4519.05</v>
      </c>
    </row>
    <row r="119" spans="1:14" s="8" customFormat="1" ht="45.75" customHeight="1" hidden="1">
      <c r="A119" s="109"/>
      <c r="B119" s="114"/>
      <c r="C119" s="138" t="s">
        <v>776</v>
      </c>
      <c r="D119" s="111" t="s">
        <v>200</v>
      </c>
      <c r="E119" s="107">
        <v>192.71</v>
      </c>
      <c r="F119" s="496" t="str">
        <f>I119</f>
        <v>x</v>
      </c>
      <c r="G119" s="107"/>
      <c r="H119" s="508"/>
      <c r="I119" s="110" t="s">
        <v>34</v>
      </c>
      <c r="J119" s="140"/>
      <c r="K119" s="461"/>
      <c r="L119" s="461"/>
      <c r="N119" s="516">
        <f t="shared" si="5"/>
        <v>0</v>
      </c>
    </row>
    <row r="120" spans="1:14" s="8" customFormat="1" ht="29.25" customHeight="1" hidden="1">
      <c r="A120" s="396">
        <v>35</v>
      </c>
      <c r="B120" s="452" t="s">
        <v>635</v>
      </c>
      <c r="C120" s="453" t="s">
        <v>636</v>
      </c>
      <c r="D120" s="396" t="s">
        <v>714</v>
      </c>
      <c r="E120" s="211" t="s">
        <v>34</v>
      </c>
      <c r="F120" s="420"/>
      <c r="G120" s="211"/>
      <c r="H120" s="511"/>
      <c r="I120" s="211">
        <f>SUM(E121:E121)</f>
        <v>489.64</v>
      </c>
      <c r="J120" s="134"/>
      <c r="K120" s="43"/>
      <c r="L120" s="43"/>
      <c r="N120" s="516">
        <f t="shared" si="5"/>
        <v>0</v>
      </c>
    </row>
    <row r="121" spans="1:16" s="8" customFormat="1" ht="80.25" customHeight="1" hidden="1">
      <c r="A121" s="396"/>
      <c r="B121" s="454"/>
      <c r="C121" s="455" t="s">
        <v>637</v>
      </c>
      <c r="D121" s="456" t="s">
        <v>715</v>
      </c>
      <c r="E121" s="457">
        <f>135.91+85.51+(114+89.2)*1.32</f>
        <v>489.64</v>
      </c>
      <c r="F121" s="503"/>
      <c r="G121" s="457"/>
      <c r="H121" s="512"/>
      <c r="I121" s="211" t="s">
        <v>34</v>
      </c>
      <c r="J121" s="134"/>
      <c r="K121" s="43"/>
      <c r="L121" s="43"/>
      <c r="N121" s="516">
        <f t="shared" si="5"/>
        <v>0</v>
      </c>
      <c r="O121" s="8">
        <f>135.91+85.51</f>
        <v>221.42</v>
      </c>
      <c r="P121" s="8">
        <f>(114+89.2)*1.32</f>
        <v>268.224</v>
      </c>
    </row>
    <row r="122" spans="1:14" s="8" customFormat="1" ht="27.75" customHeight="1">
      <c r="A122" s="844" t="s">
        <v>804</v>
      </c>
      <c r="B122" s="844"/>
      <c r="C122" s="844"/>
      <c r="D122" s="844"/>
      <c r="E122" s="844"/>
      <c r="F122" s="844"/>
      <c r="G122" s="844"/>
      <c r="H122" s="529">
        <f>H98+H101+H113+H118</f>
        <v>29468.27</v>
      </c>
      <c r="I122" s="211"/>
      <c r="J122" s="134"/>
      <c r="K122" s="43"/>
      <c r="L122" s="43"/>
      <c r="N122" s="516"/>
    </row>
    <row r="123" spans="1:14" s="8" customFormat="1" ht="27.75" customHeight="1">
      <c r="A123" s="25" t="s">
        <v>52</v>
      </c>
      <c r="B123" s="25" t="s">
        <v>63</v>
      </c>
      <c r="C123" s="848" t="s">
        <v>205</v>
      </c>
      <c r="D123" s="848"/>
      <c r="E123" s="848"/>
      <c r="F123" s="848"/>
      <c r="G123" s="848"/>
      <c r="H123" s="848"/>
      <c r="I123" s="848"/>
      <c r="J123" s="134"/>
      <c r="K123" s="45"/>
      <c r="L123" s="45"/>
      <c r="N123" s="516">
        <f t="shared" si="5"/>
        <v>0</v>
      </c>
    </row>
    <row r="124" spans="1:14" s="8" customFormat="1" ht="18" customHeight="1" hidden="1">
      <c r="A124" s="85" t="s">
        <v>34</v>
      </c>
      <c r="B124" s="85" t="s">
        <v>128</v>
      </c>
      <c r="C124" s="814" t="s">
        <v>142</v>
      </c>
      <c r="D124" s="814" t="s">
        <v>8</v>
      </c>
      <c r="E124" s="814"/>
      <c r="F124" s="814"/>
      <c r="G124" s="814"/>
      <c r="H124" s="814"/>
      <c r="I124" s="814"/>
      <c r="J124" s="134"/>
      <c r="K124" s="45"/>
      <c r="L124" s="45"/>
      <c r="N124" s="516">
        <f t="shared" si="5"/>
        <v>0</v>
      </c>
    </row>
    <row r="125" spans="1:14" s="8" customFormat="1" ht="20.25" customHeight="1" hidden="1">
      <c r="A125" s="109">
        <v>36</v>
      </c>
      <c r="B125" s="112" t="s">
        <v>272</v>
      </c>
      <c r="C125" s="139" t="s">
        <v>271</v>
      </c>
      <c r="D125" s="109" t="s">
        <v>199</v>
      </c>
      <c r="E125" s="110" t="s">
        <v>34</v>
      </c>
      <c r="F125" s="45"/>
      <c r="G125" s="110"/>
      <c r="H125" s="507"/>
      <c r="I125" s="100">
        <f>SUM(E126:E126)</f>
        <v>42.07</v>
      </c>
      <c r="J125" s="134"/>
      <c r="K125" s="45"/>
      <c r="L125" s="45"/>
      <c r="N125" s="516">
        <f t="shared" si="5"/>
        <v>0</v>
      </c>
    </row>
    <row r="126" spans="1:14" s="8" customFormat="1" ht="81" customHeight="1" hidden="1">
      <c r="A126" s="111"/>
      <c r="B126" s="114"/>
      <c r="C126" s="138" t="s">
        <v>722</v>
      </c>
      <c r="D126" s="111" t="s">
        <v>200</v>
      </c>
      <c r="E126" s="107">
        <v>42.07</v>
      </c>
      <c r="F126" s="502"/>
      <c r="G126" s="107"/>
      <c r="H126" s="508"/>
      <c r="I126" s="107" t="s">
        <v>34</v>
      </c>
      <c r="J126" s="134"/>
      <c r="K126" s="45"/>
      <c r="L126" s="45"/>
      <c r="N126" s="516">
        <f t="shared" si="5"/>
        <v>0</v>
      </c>
    </row>
    <row r="127" spans="1:106" s="20" customFormat="1" ht="18.75" customHeight="1">
      <c r="A127" s="85" t="s">
        <v>34</v>
      </c>
      <c r="B127" s="85" t="s">
        <v>21</v>
      </c>
      <c r="C127" s="814" t="s">
        <v>22</v>
      </c>
      <c r="D127" s="814" t="s">
        <v>8</v>
      </c>
      <c r="E127" s="814"/>
      <c r="F127" s="814"/>
      <c r="G127" s="814"/>
      <c r="H127" s="814"/>
      <c r="I127" s="814"/>
      <c r="J127" s="204"/>
      <c r="K127" s="849"/>
      <c r="L127" s="849"/>
      <c r="M127" s="8"/>
      <c r="N127" s="516">
        <f t="shared" si="5"/>
        <v>0</v>
      </c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</row>
    <row r="128" spans="1:106" s="20" customFormat="1" ht="20.25" customHeight="1" hidden="1">
      <c r="A128" s="109">
        <v>36</v>
      </c>
      <c r="B128" s="113" t="s">
        <v>286</v>
      </c>
      <c r="C128" s="139" t="s">
        <v>638</v>
      </c>
      <c r="D128" s="109" t="s">
        <v>199</v>
      </c>
      <c r="E128" s="110" t="s">
        <v>34</v>
      </c>
      <c r="F128" s="45"/>
      <c r="G128" s="110"/>
      <c r="H128" s="507"/>
      <c r="I128" s="100">
        <f>SUM(E129:E129)</f>
        <v>203.2</v>
      </c>
      <c r="J128" s="204"/>
      <c r="K128" s="132"/>
      <c r="L128" s="132"/>
      <c r="M128" s="8"/>
      <c r="N128" s="516">
        <f t="shared" si="5"/>
        <v>0</v>
      </c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  <c r="CZ128" s="79"/>
      <c r="DA128" s="79"/>
      <c r="DB128" s="79"/>
    </row>
    <row r="129" spans="1:106" s="20" customFormat="1" ht="51" customHeight="1" hidden="1">
      <c r="A129" s="111"/>
      <c r="B129" s="114"/>
      <c r="C129" s="138" t="s">
        <v>639</v>
      </c>
      <c r="D129" s="111" t="s">
        <v>200</v>
      </c>
      <c r="E129" s="107">
        <f>114+89.2</f>
        <v>203.2</v>
      </c>
      <c r="F129" s="502"/>
      <c r="G129" s="107"/>
      <c r="H129" s="508"/>
      <c r="I129" s="107" t="s">
        <v>34</v>
      </c>
      <c r="J129" s="204"/>
      <c r="K129" s="132"/>
      <c r="L129" s="132"/>
      <c r="M129" s="8"/>
      <c r="N129" s="516">
        <f t="shared" si="5"/>
        <v>0</v>
      </c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79"/>
      <c r="DB129" s="79"/>
    </row>
    <row r="130" spans="1:106" s="276" customFormat="1" ht="18" customHeight="1">
      <c r="A130" s="109">
        <v>13</v>
      </c>
      <c r="B130" s="113" t="s">
        <v>286</v>
      </c>
      <c r="C130" s="139" t="s">
        <v>719</v>
      </c>
      <c r="D130" s="109" t="s">
        <v>199</v>
      </c>
      <c r="E130" s="110" t="s">
        <v>34</v>
      </c>
      <c r="F130" s="496">
        <f>I130</f>
        <v>30</v>
      </c>
      <c r="G130" s="110">
        <v>21</v>
      </c>
      <c r="H130" s="507">
        <f>F130*G130</f>
        <v>630</v>
      </c>
      <c r="I130" s="100">
        <f>SUM(E131:E131)</f>
        <v>30</v>
      </c>
      <c r="J130" s="495"/>
      <c r="K130" s="801"/>
      <c r="L130" s="801"/>
      <c r="M130" s="8"/>
      <c r="N130" s="516">
        <f aca="true" t="shared" si="6" ref="N130:N187">H130</f>
        <v>630</v>
      </c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</row>
    <row r="131" spans="1:106" s="276" customFormat="1" ht="55.5" customHeight="1" hidden="1">
      <c r="A131" s="111"/>
      <c r="B131" s="114"/>
      <c r="C131" s="138" t="s">
        <v>791</v>
      </c>
      <c r="D131" s="111" t="s">
        <v>200</v>
      </c>
      <c r="E131" s="107">
        <f>15+15</f>
        <v>30</v>
      </c>
      <c r="F131" s="496" t="str">
        <f>I131</f>
        <v>x</v>
      </c>
      <c r="G131" s="107"/>
      <c r="H131" s="508"/>
      <c r="I131" s="107" t="s">
        <v>34</v>
      </c>
      <c r="J131" s="495"/>
      <c r="K131" s="43">
        <v>24.73</v>
      </c>
      <c r="L131" s="43">
        <f>K131*I130</f>
        <v>741.9</v>
      </c>
      <c r="M131" s="8"/>
      <c r="N131" s="516">
        <f t="shared" si="6"/>
        <v>0</v>
      </c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</row>
    <row r="132" spans="1:106" s="276" customFormat="1" ht="19.5" customHeight="1">
      <c r="A132" s="109">
        <v>14</v>
      </c>
      <c r="B132" s="112" t="s">
        <v>287</v>
      </c>
      <c r="C132" s="139" t="s">
        <v>275</v>
      </c>
      <c r="D132" s="109" t="s">
        <v>199</v>
      </c>
      <c r="E132" s="110" t="s">
        <v>34</v>
      </c>
      <c r="F132" s="496">
        <f>I132</f>
        <v>44</v>
      </c>
      <c r="G132" s="110">
        <v>23.7</v>
      </c>
      <c r="H132" s="507">
        <f>F132*G132</f>
        <v>1042.8</v>
      </c>
      <c r="I132" s="100">
        <f>SUM(E133:E133)</f>
        <v>44</v>
      </c>
      <c r="J132" s="495"/>
      <c r="K132" s="43"/>
      <c r="L132" s="43"/>
      <c r="M132" s="8"/>
      <c r="N132" s="516">
        <f t="shared" si="6"/>
        <v>1042.8</v>
      </c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</row>
    <row r="133" spans="1:106" s="276" customFormat="1" ht="57.75" customHeight="1" hidden="1">
      <c r="A133" s="111"/>
      <c r="B133" s="114"/>
      <c r="C133" s="138" t="s">
        <v>790</v>
      </c>
      <c r="D133" s="111" t="s">
        <v>200</v>
      </c>
      <c r="E133" s="107">
        <f>15+15+14</f>
        <v>44</v>
      </c>
      <c r="F133" s="496" t="str">
        <f>I133</f>
        <v>x</v>
      </c>
      <c r="G133" s="107"/>
      <c r="H133" s="508"/>
      <c r="I133" s="107" t="s">
        <v>34</v>
      </c>
      <c r="J133" s="495"/>
      <c r="K133" s="43"/>
      <c r="L133" s="43"/>
      <c r="M133" s="8"/>
      <c r="N133" s="516">
        <f t="shared" si="6"/>
        <v>0</v>
      </c>
      <c r="O133" s="79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</row>
    <row r="134" spans="1:106" s="20" customFormat="1" ht="22.5" customHeight="1" hidden="1">
      <c r="A134" s="109">
        <v>38</v>
      </c>
      <c r="B134" s="112" t="s">
        <v>287</v>
      </c>
      <c r="C134" s="139" t="s">
        <v>276</v>
      </c>
      <c r="D134" s="109" t="s">
        <v>199</v>
      </c>
      <c r="E134" s="110" t="s">
        <v>34</v>
      </c>
      <c r="F134" s="45"/>
      <c r="G134" s="110"/>
      <c r="H134" s="507"/>
      <c r="I134" s="100">
        <f>SUM(E135:E135)</f>
        <v>197.75</v>
      </c>
      <c r="J134" s="204"/>
      <c r="K134" s="46"/>
      <c r="L134" s="46"/>
      <c r="M134" s="8"/>
      <c r="N134" s="516">
        <f t="shared" si="6"/>
        <v>0</v>
      </c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/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9"/>
      <c r="CQ134" s="79"/>
      <c r="CR134" s="79"/>
      <c r="CS134" s="79"/>
      <c r="CT134" s="79"/>
      <c r="CU134" s="79"/>
      <c r="CV134" s="79"/>
      <c r="CW134" s="79"/>
      <c r="CX134" s="79"/>
      <c r="CY134" s="79"/>
      <c r="CZ134" s="79"/>
      <c r="DA134" s="79"/>
      <c r="DB134" s="79"/>
    </row>
    <row r="135" spans="1:106" s="20" customFormat="1" ht="45" customHeight="1" hidden="1">
      <c r="A135" s="111"/>
      <c r="B135" s="114"/>
      <c r="C135" s="138" t="s">
        <v>641</v>
      </c>
      <c r="D135" s="111" t="s">
        <v>200</v>
      </c>
      <c r="E135" s="107">
        <f>121.4+76.35</f>
        <v>197.75</v>
      </c>
      <c r="F135" s="502"/>
      <c r="G135" s="107"/>
      <c r="H135" s="508"/>
      <c r="I135" s="107" t="s">
        <v>34</v>
      </c>
      <c r="J135" s="204"/>
      <c r="K135" s="46"/>
      <c r="L135" s="46"/>
      <c r="M135" s="8"/>
      <c r="N135" s="516">
        <f t="shared" si="6"/>
        <v>0</v>
      </c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/>
      <c r="CA135" s="79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79"/>
      <c r="CY135" s="79"/>
      <c r="CZ135" s="79"/>
      <c r="DA135" s="79"/>
      <c r="DB135" s="79"/>
    </row>
    <row r="136" spans="1:106" s="20" customFormat="1" ht="17.25" customHeight="1">
      <c r="A136" s="85" t="s">
        <v>34</v>
      </c>
      <c r="B136" s="85" t="s">
        <v>455</v>
      </c>
      <c r="C136" s="814" t="s">
        <v>456</v>
      </c>
      <c r="D136" s="814" t="s">
        <v>8</v>
      </c>
      <c r="E136" s="814"/>
      <c r="F136" s="814"/>
      <c r="G136" s="814"/>
      <c r="H136" s="814"/>
      <c r="I136" s="814"/>
      <c r="J136" s="204"/>
      <c r="K136" s="46"/>
      <c r="L136" s="46"/>
      <c r="M136" s="8"/>
      <c r="N136" s="516">
        <f t="shared" si="6"/>
        <v>0</v>
      </c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/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 s="79"/>
      <c r="CZ136" s="79"/>
      <c r="DA136" s="79"/>
      <c r="DB136" s="79"/>
    </row>
    <row r="137" spans="1:106" s="20" customFormat="1" ht="22.5" customHeight="1">
      <c r="A137" s="109">
        <v>15</v>
      </c>
      <c r="B137" s="112" t="s">
        <v>457</v>
      </c>
      <c r="C137" s="139" t="s">
        <v>458</v>
      </c>
      <c r="D137" s="109" t="s">
        <v>199</v>
      </c>
      <c r="E137" s="110" t="s">
        <v>34</v>
      </c>
      <c r="F137" s="496">
        <f>I137</f>
        <v>44</v>
      </c>
      <c r="G137" s="110">
        <v>15.6</v>
      </c>
      <c r="H137" s="507">
        <f>F137*G137</f>
        <v>686.4</v>
      </c>
      <c r="I137" s="110">
        <f>E138</f>
        <v>44</v>
      </c>
      <c r="J137" s="204"/>
      <c r="K137" s="46"/>
      <c r="L137" s="46"/>
      <c r="M137" s="8"/>
      <c r="N137" s="516">
        <f t="shared" si="6"/>
        <v>686.4</v>
      </c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9"/>
      <c r="CQ137" s="79"/>
      <c r="CR137" s="79"/>
      <c r="CS137" s="79"/>
      <c r="CT137" s="79"/>
      <c r="CU137" s="79"/>
      <c r="CV137" s="79"/>
      <c r="CW137" s="79"/>
      <c r="CX137" s="79"/>
      <c r="CY137" s="79"/>
      <c r="CZ137" s="79"/>
      <c r="DA137" s="79"/>
      <c r="DB137" s="79"/>
    </row>
    <row r="138" spans="1:106" s="20" customFormat="1" ht="46.5" customHeight="1" hidden="1">
      <c r="A138" s="111"/>
      <c r="B138" s="114"/>
      <c r="C138" s="138" t="s">
        <v>792</v>
      </c>
      <c r="D138" s="111" t="s">
        <v>200</v>
      </c>
      <c r="E138" s="107">
        <v>44</v>
      </c>
      <c r="F138" s="496" t="str">
        <f>I138</f>
        <v>x</v>
      </c>
      <c r="G138" s="107"/>
      <c r="H138" s="508"/>
      <c r="I138" s="107" t="s">
        <v>34</v>
      </c>
      <c r="J138" s="204"/>
      <c r="K138" s="46"/>
      <c r="L138" s="46"/>
      <c r="M138" s="8"/>
      <c r="N138" s="516">
        <f t="shared" si="6"/>
        <v>0</v>
      </c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/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  <c r="CZ138" s="79"/>
      <c r="DA138" s="79"/>
      <c r="DB138" s="79"/>
    </row>
    <row r="139" spans="1:106" s="20" customFormat="1" ht="27.75" customHeight="1">
      <c r="A139" s="844" t="s">
        <v>806</v>
      </c>
      <c r="B139" s="844"/>
      <c r="C139" s="844"/>
      <c r="D139" s="844"/>
      <c r="E139" s="844"/>
      <c r="F139" s="844"/>
      <c r="G139" s="844"/>
      <c r="H139" s="529">
        <f>H130+H132+H137</f>
        <v>2359.2</v>
      </c>
      <c r="I139" s="107"/>
      <c r="J139" s="204"/>
      <c r="K139" s="46"/>
      <c r="L139" s="46"/>
      <c r="M139" s="8"/>
      <c r="N139" s="516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79"/>
      <c r="CQ139" s="79"/>
      <c r="CR139" s="79"/>
      <c r="CS139" s="79"/>
      <c r="CT139" s="79"/>
      <c r="CU139" s="79"/>
      <c r="CV139" s="79"/>
      <c r="CW139" s="79"/>
      <c r="CX139" s="79"/>
      <c r="CY139" s="79"/>
      <c r="CZ139" s="79"/>
      <c r="DA139" s="79"/>
      <c r="DB139" s="79"/>
    </row>
    <row r="140" spans="1:106" s="51" customFormat="1" ht="26.25">
      <c r="A140" s="25" t="s">
        <v>53</v>
      </c>
      <c r="B140" s="25" t="s">
        <v>64</v>
      </c>
      <c r="C140" s="848" t="s">
        <v>206</v>
      </c>
      <c r="D140" s="848" t="s">
        <v>8</v>
      </c>
      <c r="E140" s="848"/>
      <c r="F140" s="848"/>
      <c r="G140" s="848"/>
      <c r="H140" s="848"/>
      <c r="I140" s="848"/>
      <c r="J140" s="495"/>
      <c r="K140" s="46"/>
      <c r="L140" s="46"/>
      <c r="M140" s="527"/>
      <c r="N140" s="516">
        <f t="shared" si="6"/>
        <v>0</v>
      </c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</row>
    <row r="141" spans="1:14" s="8" customFormat="1" ht="19.5" customHeight="1" hidden="1">
      <c r="A141" s="85" t="s">
        <v>34</v>
      </c>
      <c r="B141" s="85" t="s">
        <v>23</v>
      </c>
      <c r="C141" s="814" t="s">
        <v>190</v>
      </c>
      <c r="D141" s="814" t="s">
        <v>8</v>
      </c>
      <c r="E141" s="814"/>
      <c r="F141" s="814"/>
      <c r="G141" s="814"/>
      <c r="H141" s="814"/>
      <c r="I141" s="814"/>
      <c r="J141" s="144"/>
      <c r="K141" s="849"/>
      <c r="L141" s="849"/>
      <c r="M141" s="528"/>
      <c r="N141" s="516">
        <f t="shared" si="6"/>
        <v>0</v>
      </c>
    </row>
    <row r="142" spans="1:14" s="11" customFormat="1" ht="15.75" customHeight="1" hidden="1">
      <c r="A142" s="109">
        <v>41</v>
      </c>
      <c r="B142" s="113" t="s">
        <v>0</v>
      </c>
      <c r="C142" s="139" t="s">
        <v>79</v>
      </c>
      <c r="D142" s="109" t="s">
        <v>199</v>
      </c>
      <c r="E142" s="110" t="s">
        <v>34</v>
      </c>
      <c r="F142" s="45"/>
      <c r="G142" s="110"/>
      <c r="H142" s="507"/>
      <c r="I142" s="110">
        <f>E143</f>
        <v>0</v>
      </c>
      <c r="J142" s="143"/>
      <c r="K142" s="801"/>
      <c r="L142" s="801"/>
      <c r="M142" s="528"/>
      <c r="N142" s="516">
        <f t="shared" si="6"/>
        <v>0</v>
      </c>
    </row>
    <row r="143" spans="1:14" s="8" customFormat="1" ht="57" customHeight="1" hidden="1">
      <c r="A143" s="109"/>
      <c r="B143" s="113"/>
      <c r="C143" s="138" t="s">
        <v>642</v>
      </c>
      <c r="D143" s="111" t="s">
        <v>200</v>
      </c>
      <c r="E143" s="107">
        <v>0</v>
      </c>
      <c r="F143" s="502"/>
      <c r="G143" s="107"/>
      <c r="H143" s="508"/>
      <c r="I143" s="107" t="s">
        <v>34</v>
      </c>
      <c r="J143" s="144"/>
      <c r="K143" s="43">
        <v>14.94</v>
      </c>
      <c r="L143" s="43">
        <f>K143*I142</f>
        <v>0</v>
      </c>
      <c r="M143" s="527"/>
      <c r="N143" s="516">
        <f t="shared" si="6"/>
        <v>0</v>
      </c>
    </row>
    <row r="144" spans="1:14" s="8" customFormat="1" ht="39" hidden="1">
      <c r="A144" s="111" t="s">
        <v>310</v>
      </c>
      <c r="B144" s="114" t="s">
        <v>0</v>
      </c>
      <c r="C144" s="138" t="s">
        <v>643</v>
      </c>
      <c r="D144" s="111" t="s">
        <v>200</v>
      </c>
      <c r="E144" s="107">
        <v>0</v>
      </c>
      <c r="F144" s="502"/>
      <c r="G144" s="107"/>
      <c r="H144" s="508"/>
      <c r="I144" s="107">
        <f>E144</f>
        <v>0</v>
      </c>
      <c r="J144" s="144"/>
      <c r="K144" s="43"/>
      <c r="L144" s="43"/>
      <c r="M144" s="528"/>
      <c r="N144" s="516">
        <f t="shared" si="6"/>
        <v>0</v>
      </c>
    </row>
    <row r="145" spans="1:14" s="8" customFormat="1" ht="18.75" customHeight="1" hidden="1">
      <c r="A145" s="109">
        <v>44</v>
      </c>
      <c r="B145" s="112" t="s">
        <v>130</v>
      </c>
      <c r="C145" s="139" t="s">
        <v>191</v>
      </c>
      <c r="D145" s="109" t="s">
        <v>199</v>
      </c>
      <c r="E145" s="110" t="s">
        <v>34</v>
      </c>
      <c r="F145" s="45"/>
      <c r="G145" s="110"/>
      <c r="H145" s="507"/>
      <c r="I145" s="110">
        <f>E146</f>
        <v>0</v>
      </c>
      <c r="J145" s="144"/>
      <c r="K145" s="43"/>
      <c r="L145" s="43"/>
      <c r="M145" s="528"/>
      <c r="N145" s="516">
        <f t="shared" si="6"/>
        <v>0</v>
      </c>
    </row>
    <row r="146" spans="1:14" s="8" customFormat="1" ht="80.25" customHeight="1" hidden="1">
      <c r="A146" s="111"/>
      <c r="B146" s="114"/>
      <c r="C146" s="138" t="s">
        <v>493</v>
      </c>
      <c r="D146" s="111" t="s">
        <v>200</v>
      </c>
      <c r="E146" s="107">
        <v>0</v>
      </c>
      <c r="F146" s="502"/>
      <c r="G146" s="107"/>
      <c r="H146" s="508"/>
      <c r="I146" s="107" t="s">
        <v>34</v>
      </c>
      <c r="J146" s="144"/>
      <c r="K146" s="43"/>
      <c r="L146" s="43"/>
      <c r="N146" s="516">
        <f t="shared" si="6"/>
        <v>0</v>
      </c>
    </row>
    <row r="147" spans="1:14" s="8" customFormat="1" ht="18.75" customHeight="1" hidden="1">
      <c r="A147" s="85" t="s">
        <v>34</v>
      </c>
      <c r="B147" s="85" t="s">
        <v>645</v>
      </c>
      <c r="C147" s="814" t="s">
        <v>644</v>
      </c>
      <c r="D147" s="814" t="s">
        <v>8</v>
      </c>
      <c r="E147" s="814"/>
      <c r="F147" s="814"/>
      <c r="G147" s="814"/>
      <c r="H147" s="814"/>
      <c r="I147" s="814"/>
      <c r="J147" s="144"/>
      <c r="K147" s="43"/>
      <c r="L147" s="43"/>
      <c r="N147" s="516">
        <f t="shared" si="6"/>
        <v>0</v>
      </c>
    </row>
    <row r="148" spans="1:14" s="8" customFormat="1" ht="21" customHeight="1" hidden="1">
      <c r="A148" s="109">
        <v>42</v>
      </c>
      <c r="B148" s="113" t="s">
        <v>221</v>
      </c>
      <c r="C148" s="139" t="s">
        <v>647</v>
      </c>
      <c r="D148" s="109" t="s">
        <v>199</v>
      </c>
      <c r="E148" s="110" t="s">
        <v>34</v>
      </c>
      <c r="F148" s="45"/>
      <c r="G148" s="110"/>
      <c r="H148" s="507"/>
      <c r="I148" s="110">
        <f>E149</f>
        <v>45.4</v>
      </c>
      <c r="J148" s="144"/>
      <c r="K148" s="43"/>
      <c r="L148" s="43"/>
      <c r="N148" s="516">
        <f t="shared" si="6"/>
        <v>0</v>
      </c>
    </row>
    <row r="149" spans="1:14" s="8" customFormat="1" ht="42.75" customHeight="1" hidden="1">
      <c r="A149" s="109"/>
      <c r="B149" s="113"/>
      <c r="C149" s="138" t="s">
        <v>648</v>
      </c>
      <c r="D149" s="111" t="s">
        <v>200</v>
      </c>
      <c r="E149" s="107">
        <f>25.9+19.5</f>
        <v>45.4</v>
      </c>
      <c r="F149" s="502"/>
      <c r="G149" s="107"/>
      <c r="H149" s="508"/>
      <c r="I149" s="107" t="s">
        <v>34</v>
      </c>
      <c r="J149" s="144"/>
      <c r="K149" s="43"/>
      <c r="L149" s="43"/>
      <c r="N149" s="516">
        <f t="shared" si="6"/>
        <v>0</v>
      </c>
    </row>
    <row r="150" spans="1:14" s="11" customFormat="1" ht="18" customHeight="1">
      <c r="A150" s="85" t="s">
        <v>34</v>
      </c>
      <c r="B150" s="85" t="s">
        <v>219</v>
      </c>
      <c r="C150" s="814" t="s">
        <v>220</v>
      </c>
      <c r="D150" s="814" t="s">
        <v>8</v>
      </c>
      <c r="E150" s="814"/>
      <c r="F150" s="814"/>
      <c r="G150" s="814"/>
      <c r="H150" s="814"/>
      <c r="I150" s="814"/>
      <c r="J150" s="145"/>
      <c r="K150" s="45"/>
      <c r="L150" s="45"/>
      <c r="M150" s="8"/>
      <c r="N150" s="516">
        <f t="shared" si="6"/>
        <v>0</v>
      </c>
    </row>
    <row r="151" spans="1:14" s="11" customFormat="1" ht="18.75" customHeight="1">
      <c r="A151" s="109">
        <v>16</v>
      </c>
      <c r="B151" s="113" t="s">
        <v>221</v>
      </c>
      <c r="C151" s="139" t="s">
        <v>723</v>
      </c>
      <c r="D151" s="109" t="s">
        <v>771</v>
      </c>
      <c r="E151" s="110" t="s">
        <v>34</v>
      </c>
      <c r="F151" s="496">
        <f>I151</f>
        <v>1</v>
      </c>
      <c r="G151" s="110">
        <v>1500</v>
      </c>
      <c r="H151" s="507">
        <f>F151*G151</f>
        <v>1500</v>
      </c>
      <c r="I151" s="110">
        <f>E152</f>
        <v>1</v>
      </c>
      <c r="J151" s="145"/>
      <c r="K151" s="45"/>
      <c r="L151" s="45"/>
      <c r="M151" s="8"/>
      <c r="N151" s="516">
        <f t="shared" si="6"/>
        <v>1500</v>
      </c>
    </row>
    <row r="152" spans="1:14" s="11" customFormat="1" ht="51" customHeight="1" hidden="1">
      <c r="A152" s="109"/>
      <c r="B152" s="113"/>
      <c r="C152" s="138" t="s">
        <v>773</v>
      </c>
      <c r="D152" s="111" t="s">
        <v>771</v>
      </c>
      <c r="E152" s="107">
        <v>1</v>
      </c>
      <c r="F152" s="496" t="str">
        <f>I152</f>
        <v>x</v>
      </c>
      <c r="G152" s="107"/>
      <c r="H152" s="508"/>
      <c r="I152" s="107" t="s">
        <v>34</v>
      </c>
      <c r="J152" s="145"/>
      <c r="K152" s="45"/>
      <c r="L152" s="45"/>
      <c r="M152" s="8"/>
      <c r="N152" s="516">
        <f t="shared" si="6"/>
        <v>0</v>
      </c>
    </row>
    <row r="153" spans="1:14" s="11" customFormat="1" ht="31.5" customHeight="1">
      <c r="A153" s="844" t="s">
        <v>808</v>
      </c>
      <c r="B153" s="844"/>
      <c r="C153" s="844"/>
      <c r="D153" s="844"/>
      <c r="E153" s="844"/>
      <c r="F153" s="844"/>
      <c r="G153" s="844"/>
      <c r="H153" s="529">
        <f>H144+H146+H151</f>
        <v>1500</v>
      </c>
      <c r="I153" s="107"/>
      <c r="J153" s="145"/>
      <c r="K153" s="45"/>
      <c r="L153" s="45"/>
      <c r="M153" s="8"/>
      <c r="N153" s="516"/>
    </row>
    <row r="154" spans="1:14" s="11" customFormat="1" ht="29.25" customHeight="1">
      <c r="A154" s="25" t="s">
        <v>65</v>
      </c>
      <c r="B154" s="25" t="s">
        <v>66</v>
      </c>
      <c r="C154" s="848" t="s">
        <v>207</v>
      </c>
      <c r="D154" s="848" t="s">
        <v>8</v>
      </c>
      <c r="E154" s="848"/>
      <c r="F154" s="848"/>
      <c r="G154" s="848"/>
      <c r="H154" s="848"/>
      <c r="I154" s="848"/>
      <c r="J154" s="145"/>
      <c r="K154" s="45"/>
      <c r="L154" s="45"/>
      <c r="M154" s="8"/>
      <c r="N154" s="516">
        <f t="shared" si="6"/>
        <v>0</v>
      </c>
    </row>
    <row r="155" spans="1:14" s="11" customFormat="1" ht="18" customHeight="1">
      <c r="A155" s="85" t="s">
        <v>34</v>
      </c>
      <c r="B155" s="85" t="s">
        <v>132</v>
      </c>
      <c r="C155" s="814" t="s">
        <v>131</v>
      </c>
      <c r="D155" s="814" t="s">
        <v>8</v>
      </c>
      <c r="E155" s="814"/>
      <c r="F155" s="814"/>
      <c r="G155" s="814"/>
      <c r="H155" s="814"/>
      <c r="I155" s="814"/>
      <c r="J155" s="145"/>
      <c r="K155" s="45"/>
      <c r="L155" s="45"/>
      <c r="M155" s="8"/>
      <c r="N155" s="516">
        <f t="shared" si="6"/>
        <v>0</v>
      </c>
    </row>
    <row r="156" spans="1:14" s="11" customFormat="1" ht="18" customHeight="1">
      <c r="A156" s="109">
        <v>17</v>
      </c>
      <c r="B156" s="112" t="s">
        <v>133</v>
      </c>
      <c r="C156" s="139" t="s">
        <v>192</v>
      </c>
      <c r="D156" s="109" t="s">
        <v>9</v>
      </c>
      <c r="E156" s="110" t="s">
        <v>34</v>
      </c>
      <c r="F156" s="496">
        <f>I156</f>
        <v>3</v>
      </c>
      <c r="G156" s="110">
        <v>21</v>
      </c>
      <c r="H156" s="507">
        <f>F156*G156</f>
        <v>63</v>
      </c>
      <c r="I156" s="110">
        <f>E157</f>
        <v>3</v>
      </c>
      <c r="J156" s="145"/>
      <c r="K156" s="45"/>
      <c r="L156" s="45"/>
      <c r="M156" s="8"/>
      <c r="N156" s="516">
        <f t="shared" si="6"/>
        <v>63</v>
      </c>
    </row>
    <row r="157" spans="1:14" s="11" customFormat="1" ht="40.5" customHeight="1" hidden="1">
      <c r="A157" s="111"/>
      <c r="B157" s="114"/>
      <c r="C157" s="138" t="s">
        <v>724</v>
      </c>
      <c r="D157" s="111" t="s">
        <v>9</v>
      </c>
      <c r="E157" s="107">
        <v>3</v>
      </c>
      <c r="F157" s="496" t="str">
        <f>I157</f>
        <v>x</v>
      </c>
      <c r="G157" s="107"/>
      <c r="H157" s="507" t="e">
        <f>F157*G157</f>
        <v>#VALUE!</v>
      </c>
      <c r="I157" s="107" t="s">
        <v>34</v>
      </c>
      <c r="J157" s="145"/>
      <c r="K157" s="45"/>
      <c r="L157" s="45"/>
      <c r="N157" s="516" t="e">
        <f t="shared" si="6"/>
        <v>#VALUE!</v>
      </c>
    </row>
    <row r="158" spans="1:14" s="11" customFormat="1" ht="18" customHeight="1">
      <c r="A158" s="109">
        <v>18</v>
      </c>
      <c r="B158" s="112" t="s">
        <v>193</v>
      </c>
      <c r="C158" s="139" t="s">
        <v>279</v>
      </c>
      <c r="D158" s="109" t="s">
        <v>9</v>
      </c>
      <c r="E158" s="110" t="s">
        <v>34</v>
      </c>
      <c r="F158" s="496">
        <f>I158</f>
        <v>5</v>
      </c>
      <c r="G158" s="110">
        <v>4.3</v>
      </c>
      <c r="H158" s="507">
        <f>F158*G158</f>
        <v>21.5</v>
      </c>
      <c r="I158" s="110">
        <f>E159</f>
        <v>5</v>
      </c>
      <c r="J158" s="145"/>
      <c r="K158" s="45"/>
      <c r="L158" s="45"/>
      <c r="N158" s="516">
        <f t="shared" si="6"/>
        <v>21.5</v>
      </c>
    </row>
    <row r="159" spans="1:14" s="11" customFormat="1" ht="42.75" customHeight="1" hidden="1">
      <c r="A159" s="109"/>
      <c r="B159" s="114"/>
      <c r="C159" s="138" t="s">
        <v>725</v>
      </c>
      <c r="D159" s="111" t="s">
        <v>9</v>
      </c>
      <c r="E159" s="107">
        <v>5</v>
      </c>
      <c r="F159" s="496" t="str">
        <f>I159</f>
        <v>x</v>
      </c>
      <c r="G159" s="107"/>
      <c r="H159" s="508"/>
      <c r="I159" s="110" t="s">
        <v>34</v>
      </c>
      <c r="J159" s="145"/>
      <c r="K159" s="45"/>
      <c r="L159" s="45"/>
      <c r="N159" s="516">
        <f t="shared" si="6"/>
        <v>0</v>
      </c>
    </row>
    <row r="160" spans="1:14" s="11" customFormat="1" ht="18" customHeight="1" hidden="1">
      <c r="A160" s="85" t="s">
        <v>34</v>
      </c>
      <c r="B160" s="85" t="s">
        <v>194</v>
      </c>
      <c r="C160" s="814" t="s">
        <v>195</v>
      </c>
      <c r="D160" s="814" t="s">
        <v>8</v>
      </c>
      <c r="E160" s="814"/>
      <c r="F160" s="814"/>
      <c r="G160" s="814"/>
      <c r="H160" s="814"/>
      <c r="I160" s="814"/>
      <c r="J160" s="145"/>
      <c r="K160" s="45"/>
      <c r="L160" s="45"/>
      <c r="N160" s="516">
        <f t="shared" si="6"/>
        <v>0</v>
      </c>
    </row>
    <row r="161" spans="1:14" s="11" customFormat="1" ht="18.75" customHeight="1" hidden="1">
      <c r="A161" s="109">
        <v>48</v>
      </c>
      <c r="B161" s="112" t="s">
        <v>196</v>
      </c>
      <c r="C161" s="139" t="s">
        <v>281</v>
      </c>
      <c r="D161" s="109" t="s">
        <v>11</v>
      </c>
      <c r="E161" s="110" t="s">
        <v>34</v>
      </c>
      <c r="F161" s="45"/>
      <c r="G161" s="110"/>
      <c r="H161" s="507"/>
      <c r="I161" s="110">
        <f>E162</f>
        <v>0</v>
      </c>
      <c r="J161" s="145"/>
      <c r="K161" s="45"/>
      <c r="L161" s="45"/>
      <c r="N161" s="516">
        <f t="shared" si="6"/>
        <v>0</v>
      </c>
    </row>
    <row r="162" spans="1:14" s="11" customFormat="1" ht="64.5" customHeight="1" hidden="1">
      <c r="A162" s="109"/>
      <c r="B162" s="114"/>
      <c r="C162" s="138" t="s">
        <v>463</v>
      </c>
      <c r="D162" s="111" t="s">
        <v>11</v>
      </c>
      <c r="E162" s="107">
        <v>0</v>
      </c>
      <c r="F162" s="502"/>
      <c r="G162" s="107"/>
      <c r="H162" s="508"/>
      <c r="I162" s="110" t="s">
        <v>34</v>
      </c>
      <c r="J162" s="145"/>
      <c r="K162" s="45"/>
      <c r="L162" s="45"/>
      <c r="N162" s="516">
        <f t="shared" si="6"/>
        <v>0</v>
      </c>
    </row>
    <row r="163" spans="1:14" s="11" customFormat="1" ht="38.25" customHeight="1">
      <c r="A163" s="844" t="s">
        <v>809</v>
      </c>
      <c r="B163" s="844"/>
      <c r="C163" s="844"/>
      <c r="D163" s="844"/>
      <c r="E163" s="844"/>
      <c r="F163" s="844"/>
      <c r="G163" s="844"/>
      <c r="H163" s="529">
        <f>H156+H158</f>
        <v>84.5</v>
      </c>
      <c r="I163" s="110"/>
      <c r="J163" s="145"/>
      <c r="K163" s="45"/>
      <c r="L163" s="45"/>
      <c r="N163" s="516"/>
    </row>
    <row r="164" spans="1:14" s="11" customFormat="1" ht="30" customHeight="1">
      <c r="A164" s="25" t="s">
        <v>67</v>
      </c>
      <c r="B164" s="25" t="s">
        <v>68</v>
      </c>
      <c r="C164" s="848" t="s">
        <v>208</v>
      </c>
      <c r="D164" s="848"/>
      <c r="E164" s="848"/>
      <c r="F164" s="848"/>
      <c r="G164" s="848"/>
      <c r="H164" s="848"/>
      <c r="I164" s="848"/>
      <c r="J164" s="145"/>
      <c r="K164" s="45"/>
      <c r="L164" s="45"/>
      <c r="N164" s="516">
        <f t="shared" si="6"/>
        <v>0</v>
      </c>
    </row>
    <row r="165" spans="1:14" s="11" customFormat="1" ht="18" customHeight="1">
      <c r="A165" s="85" t="s">
        <v>34</v>
      </c>
      <c r="B165" s="85" t="s">
        <v>24</v>
      </c>
      <c r="C165" s="814" t="s">
        <v>25</v>
      </c>
      <c r="D165" s="814" t="s">
        <v>8</v>
      </c>
      <c r="E165" s="814"/>
      <c r="F165" s="814"/>
      <c r="G165" s="814"/>
      <c r="H165" s="814"/>
      <c r="I165" s="814"/>
      <c r="J165" s="145"/>
      <c r="K165" s="45"/>
      <c r="L165" s="45"/>
      <c r="N165" s="516">
        <f t="shared" si="6"/>
        <v>0</v>
      </c>
    </row>
    <row r="166" spans="1:14" s="11" customFormat="1" ht="29.25" customHeight="1">
      <c r="A166" s="109">
        <v>19</v>
      </c>
      <c r="B166" s="113" t="s">
        <v>649</v>
      </c>
      <c r="C166" s="142" t="s">
        <v>650</v>
      </c>
      <c r="D166" s="109" t="s">
        <v>11</v>
      </c>
      <c r="E166" s="110" t="s">
        <v>34</v>
      </c>
      <c r="F166" s="496">
        <f>I166</f>
        <v>445</v>
      </c>
      <c r="G166" s="110">
        <v>33.9</v>
      </c>
      <c r="H166" s="507">
        <f>F166*G166</f>
        <v>15085.5</v>
      </c>
      <c r="I166" s="110">
        <f>SUM(E167:E167)</f>
        <v>445</v>
      </c>
      <c r="J166" s="145"/>
      <c r="K166" s="45"/>
      <c r="L166" s="45"/>
      <c r="N166" s="516">
        <f t="shared" si="6"/>
        <v>15085.5</v>
      </c>
    </row>
    <row r="167" spans="1:14" s="11" customFormat="1" ht="57.75" customHeight="1" hidden="1">
      <c r="A167" s="109"/>
      <c r="B167" s="114"/>
      <c r="C167" s="138" t="s">
        <v>774</v>
      </c>
      <c r="D167" s="111" t="s">
        <v>11</v>
      </c>
      <c r="E167" s="107">
        <v>445</v>
      </c>
      <c r="F167" s="496" t="str">
        <f>I167</f>
        <v>x</v>
      </c>
      <c r="G167" s="107"/>
      <c r="H167" s="508"/>
      <c r="I167" s="110" t="s">
        <v>34</v>
      </c>
      <c r="J167" s="145"/>
      <c r="K167" s="45"/>
      <c r="L167" s="45"/>
      <c r="N167" s="516">
        <f t="shared" si="6"/>
        <v>0</v>
      </c>
    </row>
    <row r="168" spans="1:14" s="8" customFormat="1" ht="18" customHeight="1">
      <c r="A168" s="85" t="s">
        <v>34</v>
      </c>
      <c r="B168" s="85" t="s">
        <v>26</v>
      </c>
      <c r="C168" s="814" t="s">
        <v>27</v>
      </c>
      <c r="D168" s="814" t="s">
        <v>8</v>
      </c>
      <c r="E168" s="814"/>
      <c r="F168" s="814"/>
      <c r="G168" s="814"/>
      <c r="H168" s="814"/>
      <c r="I168" s="814"/>
      <c r="J168" s="144"/>
      <c r="K168" s="43">
        <v>90.78</v>
      </c>
      <c r="L168" s="43">
        <f>K168*I166</f>
        <v>40397.1</v>
      </c>
      <c r="M168" s="11"/>
      <c r="N168" s="516">
        <f t="shared" si="6"/>
        <v>0</v>
      </c>
    </row>
    <row r="169" spans="1:16" s="8" customFormat="1" ht="18" customHeight="1">
      <c r="A169" s="109">
        <v>20</v>
      </c>
      <c r="B169" s="113" t="s">
        <v>99</v>
      </c>
      <c r="C169" s="139" t="s">
        <v>100</v>
      </c>
      <c r="D169" s="109" t="s">
        <v>199</v>
      </c>
      <c r="E169" s="110" t="s">
        <v>34</v>
      </c>
      <c r="F169" s="496">
        <f>I169</f>
        <v>520.84</v>
      </c>
      <c r="G169" s="110">
        <v>38.6</v>
      </c>
      <c r="H169" s="507">
        <f>F169*G169</f>
        <v>20104.42</v>
      </c>
      <c r="I169" s="110">
        <f>E170</f>
        <v>520.84</v>
      </c>
      <c r="J169" s="144"/>
      <c r="K169" s="45"/>
      <c r="L169" s="45"/>
      <c r="M169" s="11"/>
      <c r="N169" s="516">
        <f t="shared" si="6"/>
        <v>20104.42</v>
      </c>
      <c r="O169" s="48"/>
      <c r="P169" s="48"/>
    </row>
    <row r="170" spans="1:14" s="13" customFormat="1" ht="77.25" customHeight="1" hidden="1">
      <c r="A170" s="109" t="s">
        <v>8</v>
      </c>
      <c r="B170" s="115"/>
      <c r="C170" s="138" t="s">
        <v>775</v>
      </c>
      <c r="D170" s="111" t="s">
        <v>200</v>
      </c>
      <c r="E170" s="107">
        <v>520.84</v>
      </c>
      <c r="F170" s="496" t="str">
        <f>I170</f>
        <v>x</v>
      </c>
      <c r="G170" s="107"/>
      <c r="H170" s="507" t="e">
        <f>F170*G170</f>
        <v>#VALUE!</v>
      </c>
      <c r="I170" s="110" t="s">
        <v>34</v>
      </c>
      <c r="J170" s="146"/>
      <c r="K170" s="43">
        <v>72.3</v>
      </c>
      <c r="L170" s="43" t="e">
        <f>K170*#REF!</f>
        <v>#REF!</v>
      </c>
      <c r="M170" s="11"/>
      <c r="N170" s="516" t="e">
        <f t="shared" si="6"/>
        <v>#VALUE!</v>
      </c>
    </row>
    <row r="171" spans="1:14" s="8" customFormat="1" ht="19.5" customHeight="1">
      <c r="A171" s="109">
        <v>21</v>
      </c>
      <c r="B171" s="113" t="s">
        <v>1</v>
      </c>
      <c r="C171" s="139" t="s">
        <v>285</v>
      </c>
      <c r="D171" s="109" t="s">
        <v>199</v>
      </c>
      <c r="E171" s="110" t="s">
        <v>34</v>
      </c>
      <c r="F171" s="496">
        <f>I171</f>
        <v>156.21</v>
      </c>
      <c r="G171" s="110">
        <v>42.5</v>
      </c>
      <c r="H171" s="507">
        <f>F171*G171</f>
        <v>6638.93</v>
      </c>
      <c r="I171" s="110">
        <f>E172</f>
        <v>156.21</v>
      </c>
      <c r="J171" s="144"/>
      <c r="K171" s="45"/>
      <c r="L171" s="45"/>
      <c r="M171" s="11"/>
      <c r="N171" s="516">
        <f t="shared" si="6"/>
        <v>6638.93</v>
      </c>
    </row>
    <row r="172" spans="1:14" s="8" customFormat="1" ht="57" customHeight="1" hidden="1">
      <c r="A172" s="109" t="s">
        <v>8</v>
      </c>
      <c r="B172" s="115"/>
      <c r="C172" s="138" t="s">
        <v>778</v>
      </c>
      <c r="D172" s="111" t="s">
        <v>200</v>
      </c>
      <c r="E172" s="107">
        <v>156.21</v>
      </c>
      <c r="F172" s="496" t="str">
        <f>I172</f>
        <v>x</v>
      </c>
      <c r="G172" s="107"/>
      <c r="H172" s="508"/>
      <c r="I172" s="110" t="s">
        <v>34</v>
      </c>
      <c r="J172" s="144"/>
      <c r="K172" s="801"/>
      <c r="L172" s="801"/>
      <c r="N172" s="516">
        <f t="shared" si="6"/>
        <v>0</v>
      </c>
    </row>
    <row r="173" spans="1:14" s="8" customFormat="1" ht="18" customHeight="1">
      <c r="A173" s="85" t="s">
        <v>34</v>
      </c>
      <c r="B173" s="85" t="s">
        <v>28</v>
      </c>
      <c r="C173" s="814" t="s">
        <v>29</v>
      </c>
      <c r="D173" s="814" t="s">
        <v>8</v>
      </c>
      <c r="E173" s="814"/>
      <c r="F173" s="814"/>
      <c r="G173" s="814"/>
      <c r="H173" s="814"/>
      <c r="I173" s="814"/>
      <c r="J173" s="144"/>
      <c r="K173" s="461"/>
      <c r="L173" s="461"/>
      <c r="N173" s="516">
        <f t="shared" si="6"/>
        <v>0</v>
      </c>
    </row>
    <row r="174" spans="1:14" s="8" customFormat="1" ht="17.25" customHeight="1">
      <c r="A174" s="109">
        <v>22</v>
      </c>
      <c r="B174" s="113" t="s">
        <v>2</v>
      </c>
      <c r="C174" s="139" t="s">
        <v>134</v>
      </c>
      <c r="D174" s="109" t="s">
        <v>11</v>
      </c>
      <c r="E174" s="110" t="s">
        <v>34</v>
      </c>
      <c r="F174" s="496">
        <f>I174</f>
        <v>465</v>
      </c>
      <c r="G174" s="110">
        <v>28.6</v>
      </c>
      <c r="H174" s="507">
        <f>F174*G174</f>
        <v>13299</v>
      </c>
      <c r="I174" s="110">
        <f>E175</f>
        <v>465</v>
      </c>
      <c r="J174" s="144"/>
      <c r="K174" s="461"/>
      <c r="L174" s="461"/>
      <c r="N174" s="516">
        <f t="shared" si="6"/>
        <v>13299</v>
      </c>
    </row>
    <row r="175" spans="1:14" s="11" customFormat="1" ht="43.5" customHeight="1" hidden="1">
      <c r="A175" s="109" t="s">
        <v>8</v>
      </c>
      <c r="B175" s="115"/>
      <c r="C175" s="138" t="s">
        <v>779</v>
      </c>
      <c r="D175" s="111" t="s">
        <v>11</v>
      </c>
      <c r="E175" s="107">
        <v>465</v>
      </c>
      <c r="F175" s="496" t="str">
        <f>I175</f>
        <v>x</v>
      </c>
      <c r="G175" s="107"/>
      <c r="H175" s="508"/>
      <c r="I175" s="107" t="s">
        <v>34</v>
      </c>
      <c r="J175" s="143"/>
      <c r="K175" s="43">
        <v>78.42</v>
      </c>
      <c r="L175" s="43">
        <f>K175*I171</f>
        <v>12249.99</v>
      </c>
      <c r="M175" s="13"/>
      <c r="N175" s="516">
        <f t="shared" si="6"/>
        <v>0</v>
      </c>
    </row>
    <row r="176" spans="1:14" s="11" customFormat="1" ht="24.75" customHeight="1">
      <c r="A176" s="844" t="s">
        <v>810</v>
      </c>
      <c r="B176" s="844"/>
      <c r="C176" s="844"/>
      <c r="D176" s="844"/>
      <c r="E176" s="844"/>
      <c r="F176" s="844"/>
      <c r="G176" s="844"/>
      <c r="H176" s="529">
        <f>H174+H171+H169+H166</f>
        <v>55127.85</v>
      </c>
      <c r="I176" s="107"/>
      <c r="J176" s="143"/>
      <c r="K176" s="43"/>
      <c r="L176" s="43"/>
      <c r="M176" s="13"/>
      <c r="N176" s="516"/>
    </row>
    <row r="177" spans="1:14" s="11" customFormat="1" ht="28.5" customHeight="1">
      <c r="A177" s="846" t="s">
        <v>801</v>
      </c>
      <c r="B177" s="846"/>
      <c r="C177" s="846"/>
      <c r="D177" s="846"/>
      <c r="E177" s="846"/>
      <c r="F177" s="846"/>
      <c r="G177" s="846"/>
      <c r="H177" s="531">
        <f>H176+H163+H153+H139+H122+H95</f>
        <v>116706.88</v>
      </c>
      <c r="I177" s="107"/>
      <c r="J177" s="143"/>
      <c r="K177" s="43"/>
      <c r="L177" s="43"/>
      <c r="M177" s="13"/>
      <c r="N177" s="516"/>
    </row>
    <row r="178" spans="1:14" ht="37.5" customHeight="1">
      <c r="A178" s="490" t="s">
        <v>139</v>
      </c>
      <c r="B178" s="847" t="s">
        <v>780</v>
      </c>
      <c r="C178" s="847"/>
      <c r="D178" s="847"/>
      <c r="E178" s="847"/>
      <c r="F178" s="847"/>
      <c r="G178" s="847"/>
      <c r="H178" s="847"/>
      <c r="I178" s="847"/>
      <c r="J178" s="847"/>
      <c r="K178" s="847"/>
      <c r="L178" s="847"/>
      <c r="M178" s="154"/>
      <c r="N178" s="516">
        <f t="shared" si="6"/>
        <v>0</v>
      </c>
    </row>
    <row r="179" spans="1:14" ht="25.5" customHeight="1">
      <c r="A179" s="25" t="s">
        <v>101</v>
      </c>
      <c r="B179" s="25" t="s">
        <v>781</v>
      </c>
      <c r="C179" s="816" t="s">
        <v>782</v>
      </c>
      <c r="D179" s="816"/>
      <c r="E179" s="816"/>
      <c r="F179" s="816"/>
      <c r="G179" s="816"/>
      <c r="H179" s="816"/>
      <c r="I179" s="816"/>
      <c r="J179" s="816"/>
      <c r="K179" s="816"/>
      <c r="L179" s="816"/>
      <c r="M179" s="154"/>
      <c r="N179" s="516">
        <f t="shared" si="6"/>
        <v>0</v>
      </c>
    </row>
    <row r="180" spans="1:14" ht="20.25" customHeight="1">
      <c r="A180" s="109">
        <v>23</v>
      </c>
      <c r="B180" s="113"/>
      <c r="C180" s="139" t="s">
        <v>783</v>
      </c>
      <c r="D180" s="109" t="s">
        <v>9</v>
      </c>
      <c r="E180" s="110" t="s">
        <v>34</v>
      </c>
      <c r="F180" s="496">
        <f>I180</f>
        <v>10</v>
      </c>
      <c r="G180" s="110">
        <v>285</v>
      </c>
      <c r="H180" s="507">
        <f>F180*G180</f>
        <v>2850</v>
      </c>
      <c r="I180" s="110">
        <f>E181</f>
        <v>10</v>
      </c>
      <c r="J180" s="491"/>
      <c r="K180" s="491"/>
      <c r="L180" s="491"/>
      <c r="M180" s="154"/>
      <c r="N180" s="516">
        <f t="shared" si="6"/>
        <v>2850</v>
      </c>
    </row>
    <row r="181" spans="1:14" ht="71.25" customHeight="1" hidden="1">
      <c r="A181" s="109" t="s">
        <v>8</v>
      </c>
      <c r="B181" s="115"/>
      <c r="C181" s="138" t="s">
        <v>794</v>
      </c>
      <c r="D181" s="111" t="s">
        <v>9</v>
      </c>
      <c r="E181" s="107">
        <v>10</v>
      </c>
      <c r="F181" s="496" t="str">
        <f>I181</f>
        <v>x</v>
      </c>
      <c r="G181" s="107"/>
      <c r="H181" s="508"/>
      <c r="I181" s="107" t="s">
        <v>34</v>
      </c>
      <c r="J181" s="491"/>
      <c r="K181" s="491"/>
      <c r="L181" s="491"/>
      <c r="M181" s="154"/>
      <c r="N181" s="516">
        <f t="shared" si="6"/>
        <v>0</v>
      </c>
    </row>
    <row r="182" spans="1:14" ht="24.75" customHeight="1">
      <c r="A182" s="844" t="s">
        <v>813</v>
      </c>
      <c r="B182" s="844"/>
      <c r="C182" s="844"/>
      <c r="D182" s="844"/>
      <c r="E182" s="844"/>
      <c r="F182" s="844"/>
      <c r="G182" s="844"/>
      <c r="H182" s="529">
        <f>H180</f>
        <v>2850</v>
      </c>
      <c r="I182" s="107"/>
      <c r="J182" s="491"/>
      <c r="K182" s="491"/>
      <c r="L182" s="491"/>
      <c r="M182" s="154"/>
      <c r="N182" s="516"/>
    </row>
    <row r="183" spans="1:14" ht="25.5" customHeight="1">
      <c r="A183" s="846" t="s">
        <v>805</v>
      </c>
      <c r="B183" s="846"/>
      <c r="C183" s="846"/>
      <c r="D183" s="846"/>
      <c r="E183" s="846"/>
      <c r="F183" s="846"/>
      <c r="G183" s="846"/>
      <c r="H183" s="531">
        <f>H182</f>
        <v>2850</v>
      </c>
      <c r="I183" s="107"/>
      <c r="J183" s="491"/>
      <c r="K183" s="491"/>
      <c r="L183" s="491"/>
      <c r="M183" s="154"/>
      <c r="N183" s="516"/>
    </row>
    <row r="184" spans="1:14" ht="31.5" customHeight="1">
      <c r="A184" s="490" t="s">
        <v>784</v>
      </c>
      <c r="B184" s="847" t="s">
        <v>793</v>
      </c>
      <c r="C184" s="847"/>
      <c r="D184" s="847"/>
      <c r="E184" s="847"/>
      <c r="F184" s="847"/>
      <c r="G184" s="847"/>
      <c r="H184" s="847"/>
      <c r="I184" s="847"/>
      <c r="J184" s="847"/>
      <c r="K184" s="847"/>
      <c r="L184" s="847"/>
      <c r="M184" s="154"/>
      <c r="N184" s="516">
        <f t="shared" si="6"/>
        <v>0</v>
      </c>
    </row>
    <row r="185" spans="1:14" ht="38.25" customHeight="1">
      <c r="A185" s="25" t="s">
        <v>33</v>
      </c>
      <c r="B185" s="25" t="s">
        <v>785</v>
      </c>
      <c r="C185" s="816" t="s">
        <v>786</v>
      </c>
      <c r="D185" s="816"/>
      <c r="E185" s="816"/>
      <c r="F185" s="816"/>
      <c r="G185" s="816"/>
      <c r="H185" s="816"/>
      <c r="I185" s="816"/>
      <c r="J185" s="816"/>
      <c r="K185" s="816"/>
      <c r="L185" s="816"/>
      <c r="M185" s="154"/>
      <c r="N185" s="516">
        <f t="shared" si="6"/>
        <v>0</v>
      </c>
    </row>
    <row r="186" spans="1:14" ht="21" customHeight="1">
      <c r="A186" s="109">
        <v>24</v>
      </c>
      <c r="B186" s="113"/>
      <c r="C186" s="139" t="s">
        <v>787</v>
      </c>
      <c r="D186" s="109" t="s">
        <v>9</v>
      </c>
      <c r="E186" s="110" t="s">
        <v>34</v>
      </c>
      <c r="F186" s="496">
        <f>I186</f>
        <v>8</v>
      </c>
      <c r="G186" s="110">
        <v>225.6</v>
      </c>
      <c r="H186" s="507">
        <f>F186*G186</f>
        <v>1804.8</v>
      </c>
      <c r="I186" s="110">
        <f>E187</f>
        <v>8</v>
      </c>
      <c r="J186" s="491"/>
      <c r="K186" s="491"/>
      <c r="L186" s="491"/>
      <c r="M186" s="154"/>
      <c r="N186" s="516">
        <f t="shared" si="6"/>
        <v>1804.8</v>
      </c>
    </row>
    <row r="187" spans="1:14" ht="78.75" hidden="1">
      <c r="A187" s="109" t="s">
        <v>8</v>
      </c>
      <c r="B187" s="115"/>
      <c r="C187" s="138" t="s">
        <v>795</v>
      </c>
      <c r="D187" s="111" t="s">
        <v>9</v>
      </c>
      <c r="E187" s="107">
        <v>8</v>
      </c>
      <c r="F187" s="496" t="str">
        <f>I187</f>
        <v>x</v>
      </c>
      <c r="G187" s="107"/>
      <c r="H187" s="508"/>
      <c r="I187" s="107" t="s">
        <v>34</v>
      </c>
      <c r="J187" s="491"/>
      <c r="K187" s="491"/>
      <c r="L187" s="491"/>
      <c r="N187" s="516">
        <f t="shared" si="6"/>
        <v>0</v>
      </c>
    </row>
    <row r="188" spans="1:14" ht="26.25" customHeight="1">
      <c r="A188" s="844" t="s">
        <v>290</v>
      </c>
      <c r="B188" s="844"/>
      <c r="C188" s="844"/>
      <c r="D188" s="844"/>
      <c r="E188" s="844"/>
      <c r="F188" s="844"/>
      <c r="G188" s="844"/>
      <c r="H188" s="529">
        <f>H186</f>
        <v>1804.8</v>
      </c>
      <c r="I188" s="533"/>
      <c r="J188" s="491"/>
      <c r="K188" s="491"/>
      <c r="L188" s="491"/>
      <c r="N188" s="516"/>
    </row>
    <row r="189" spans="1:14" ht="28.5" customHeight="1">
      <c r="A189" s="846" t="s">
        <v>807</v>
      </c>
      <c r="B189" s="846"/>
      <c r="C189" s="846"/>
      <c r="D189" s="846"/>
      <c r="E189" s="846"/>
      <c r="F189" s="846"/>
      <c r="G189" s="846"/>
      <c r="H189" s="531">
        <f>H188</f>
        <v>1804.8</v>
      </c>
      <c r="I189" s="533"/>
      <c r="J189" s="491"/>
      <c r="K189" s="491"/>
      <c r="L189" s="491"/>
      <c r="N189" s="516"/>
    </row>
    <row r="190" spans="1:12" ht="21.75" customHeight="1">
      <c r="A190" s="845" t="s">
        <v>216</v>
      </c>
      <c r="B190" s="845"/>
      <c r="C190" s="845"/>
      <c r="D190" s="845"/>
      <c r="E190" s="845"/>
      <c r="F190" s="845"/>
      <c r="G190" s="845"/>
      <c r="H190" s="513">
        <f>H189+H183+H177+H15</f>
        <v>124161.68</v>
      </c>
      <c r="I190" s="534" t="e">
        <f>I189+#REF!</f>
        <v>#REF!</v>
      </c>
      <c r="J190" s="491"/>
      <c r="K190" s="491"/>
      <c r="L190" s="491"/>
    </row>
    <row r="191" spans="1:12" ht="24" customHeight="1">
      <c r="A191" s="845" t="s">
        <v>217</v>
      </c>
      <c r="B191" s="845"/>
      <c r="C191" s="845"/>
      <c r="D191" s="845"/>
      <c r="E191" s="845"/>
      <c r="F191" s="845"/>
      <c r="G191" s="845"/>
      <c r="H191" s="513">
        <f>H192-H190</f>
        <v>28557.19</v>
      </c>
      <c r="I191" s="534" t="e">
        <f>0.23*I190</f>
        <v>#REF!</v>
      </c>
      <c r="J191" s="491"/>
      <c r="K191" s="491"/>
      <c r="L191" s="491"/>
    </row>
    <row r="192" spans="1:12" ht="27" customHeight="1">
      <c r="A192" s="845" t="s">
        <v>218</v>
      </c>
      <c r="B192" s="845"/>
      <c r="C192" s="845"/>
      <c r="D192" s="845"/>
      <c r="E192" s="845"/>
      <c r="F192" s="845"/>
      <c r="G192" s="845"/>
      <c r="H192" s="513">
        <f>H190*1.23</f>
        <v>152718.87</v>
      </c>
      <c r="I192" s="534" t="e">
        <f>I190+I191</f>
        <v>#REF!</v>
      </c>
      <c r="J192" s="491"/>
      <c r="K192" s="491"/>
      <c r="L192" s="491"/>
    </row>
    <row r="193" ht="12.75">
      <c r="I193" s="155"/>
    </row>
    <row r="194" ht="12.75">
      <c r="I194" s="155"/>
    </row>
    <row r="195" ht="12.75">
      <c r="I195" s="155"/>
    </row>
  </sheetData>
  <sheetProtection/>
  <autoFilter ref="A3:I175"/>
  <mergeCells count="76">
    <mergeCell ref="A1:I1"/>
    <mergeCell ref="K1:L1"/>
    <mergeCell ref="A2:I2"/>
    <mergeCell ref="K2:L2"/>
    <mergeCell ref="B4:I4"/>
    <mergeCell ref="K4:L4"/>
    <mergeCell ref="C5:I5"/>
    <mergeCell ref="K5:L5"/>
    <mergeCell ref="C6:I6"/>
    <mergeCell ref="B16:I16"/>
    <mergeCell ref="K16:L16"/>
    <mergeCell ref="A14:G14"/>
    <mergeCell ref="A15:G15"/>
    <mergeCell ref="C17:I17"/>
    <mergeCell ref="K17:L17"/>
    <mergeCell ref="C18:I18"/>
    <mergeCell ref="K18:L18"/>
    <mergeCell ref="C21:I21"/>
    <mergeCell ref="C26:I26"/>
    <mergeCell ref="K26:L26"/>
    <mergeCell ref="C31:I31"/>
    <mergeCell ref="K31:L31"/>
    <mergeCell ref="C56:I56"/>
    <mergeCell ref="C57:I57"/>
    <mergeCell ref="C62:I62"/>
    <mergeCell ref="C67:I67"/>
    <mergeCell ref="C68:I68"/>
    <mergeCell ref="C75:I75"/>
    <mergeCell ref="C78:I78"/>
    <mergeCell ref="C96:I96"/>
    <mergeCell ref="C97:I97"/>
    <mergeCell ref="K97:L97"/>
    <mergeCell ref="C100:I100"/>
    <mergeCell ref="A95:G95"/>
    <mergeCell ref="C103:I103"/>
    <mergeCell ref="K106:L106"/>
    <mergeCell ref="C112:I112"/>
    <mergeCell ref="K115:L115"/>
    <mergeCell ref="C117:I117"/>
    <mergeCell ref="C160:I160"/>
    <mergeCell ref="C127:I127"/>
    <mergeCell ref="K127:L127"/>
    <mergeCell ref="K130:L130"/>
    <mergeCell ref="C136:I136"/>
    <mergeCell ref="C140:I140"/>
    <mergeCell ref="C141:I141"/>
    <mergeCell ref="K141:L141"/>
    <mergeCell ref="K142:L142"/>
    <mergeCell ref="C147:I147"/>
    <mergeCell ref="C150:I150"/>
    <mergeCell ref="C154:I154"/>
    <mergeCell ref="C155:I155"/>
    <mergeCell ref="A190:G190"/>
    <mergeCell ref="A191:G191"/>
    <mergeCell ref="A192:G192"/>
    <mergeCell ref="A183:G183"/>
    <mergeCell ref="A188:G188"/>
    <mergeCell ref="A189:G189"/>
    <mergeCell ref="B184:L184"/>
    <mergeCell ref="C185:L185"/>
    <mergeCell ref="A122:G122"/>
    <mergeCell ref="A139:G139"/>
    <mergeCell ref="A153:G153"/>
    <mergeCell ref="A163:G163"/>
    <mergeCell ref="A182:G182"/>
    <mergeCell ref="C164:I164"/>
    <mergeCell ref="C165:I165"/>
    <mergeCell ref="C179:L179"/>
    <mergeCell ref="C168:I168"/>
    <mergeCell ref="K172:L172"/>
    <mergeCell ref="C173:I173"/>
    <mergeCell ref="B178:L178"/>
    <mergeCell ref="A177:G177"/>
    <mergeCell ref="A176:G176"/>
    <mergeCell ref="C123:I123"/>
    <mergeCell ref="C124:I124"/>
  </mergeCells>
  <printOptions/>
  <pageMargins left="0.7" right="0.7" top="0.75" bottom="0.75" header="0.3" footer="0.3"/>
  <pageSetup fitToHeight="0" fitToWidth="1" horizontalDpi="600" verticalDpi="600" orientation="portrait" paperSize="9" scale="61" r:id="rId1"/>
  <rowBreaks count="1" manualBreakCount="1">
    <brk id="163" max="8" man="1"/>
  </rowBreaks>
  <colBreaks count="1" manualBreakCount="1">
    <brk id="8" max="19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FV186"/>
  <sheetViews>
    <sheetView zoomScaleSheetLayoutView="100" zoomScalePageLayoutView="0" workbookViewId="0" topLeftCell="A19">
      <selection activeCell="S83" sqref="S83"/>
    </sheetView>
  </sheetViews>
  <sheetFormatPr defaultColWidth="9.125" defaultRowHeight="12.75"/>
  <cols>
    <col min="1" max="1" width="10.375" style="21" customWidth="1"/>
    <col min="2" max="2" width="15.50390625" style="49" customWidth="1"/>
    <col min="3" max="3" width="65.625" style="52" customWidth="1"/>
    <col min="4" max="4" width="10.50390625" style="53" customWidth="1"/>
    <col min="5" max="5" width="9.625" style="22" customWidth="1"/>
    <col min="6" max="6" width="13.00390625" style="24" customWidth="1"/>
    <col min="7" max="7" width="6.125" style="49" hidden="1" customWidth="1"/>
    <col min="8" max="8" width="12.125" style="49" hidden="1" customWidth="1"/>
    <col min="9" max="9" width="13.00390625" style="49" hidden="1" customWidth="1"/>
    <col min="10" max="10" width="9.125" style="49" customWidth="1"/>
    <col min="11" max="11" width="10.00390625" style="49" bestFit="1" customWidth="1"/>
    <col min="12" max="16384" width="9.125" style="49" customWidth="1"/>
  </cols>
  <sheetData>
    <row r="1" spans="1:9" s="4" customFormat="1" ht="31.5" customHeight="1" thickBot="1">
      <c r="A1" s="888" t="s">
        <v>16</v>
      </c>
      <c r="B1" s="889"/>
      <c r="C1" s="889"/>
      <c r="D1" s="889"/>
      <c r="E1" s="889"/>
      <c r="F1" s="890"/>
      <c r="G1" s="2"/>
      <c r="H1" s="891"/>
      <c r="I1" s="892"/>
    </row>
    <row r="2" spans="1:11" s="4" customFormat="1" ht="39.75" customHeight="1" thickBot="1">
      <c r="A2" s="893" t="s">
        <v>651</v>
      </c>
      <c r="B2" s="894"/>
      <c r="C2" s="894"/>
      <c r="D2" s="894"/>
      <c r="E2" s="894"/>
      <c r="F2" s="895"/>
      <c r="G2" s="5"/>
      <c r="H2" s="896"/>
      <c r="I2" s="897"/>
      <c r="J2" s="6"/>
      <c r="K2" s="6"/>
    </row>
    <row r="3" spans="1:10" ht="45" customHeight="1" thickBot="1">
      <c r="A3" s="181" t="s">
        <v>3</v>
      </c>
      <c r="B3" s="182" t="s">
        <v>228</v>
      </c>
      <c r="C3" s="183" t="s">
        <v>4</v>
      </c>
      <c r="D3" s="183" t="s">
        <v>5</v>
      </c>
      <c r="E3" s="184" t="s">
        <v>6</v>
      </c>
      <c r="F3" s="185" t="s">
        <v>7</v>
      </c>
      <c r="G3" s="3"/>
      <c r="H3" s="26" t="s">
        <v>70</v>
      </c>
      <c r="I3" s="26" t="s">
        <v>71</v>
      </c>
      <c r="J3" s="16"/>
    </row>
    <row r="4" spans="1:10" ht="19.5" customHeight="1">
      <c r="A4" s="83" t="s">
        <v>33</v>
      </c>
      <c r="B4" s="898" t="s">
        <v>140</v>
      </c>
      <c r="C4" s="899"/>
      <c r="D4" s="899"/>
      <c r="E4" s="899"/>
      <c r="F4" s="900"/>
      <c r="G4" s="3"/>
      <c r="H4" s="891"/>
      <c r="I4" s="892"/>
      <c r="J4" s="16"/>
    </row>
    <row r="5" spans="1:10" ht="26.25" customHeight="1">
      <c r="A5" s="28" t="s">
        <v>58</v>
      </c>
      <c r="B5" s="25" t="s">
        <v>73</v>
      </c>
      <c r="C5" s="848" t="s">
        <v>50</v>
      </c>
      <c r="D5" s="848"/>
      <c r="E5" s="848"/>
      <c r="F5" s="901"/>
      <c r="G5" s="3"/>
      <c r="H5" s="896"/>
      <c r="I5" s="897"/>
      <c r="J5" s="16"/>
    </row>
    <row r="6" spans="1:10" ht="18.75" customHeight="1">
      <c r="A6" s="84" t="s">
        <v>34</v>
      </c>
      <c r="B6" s="85" t="s">
        <v>69</v>
      </c>
      <c r="C6" s="814" t="s">
        <v>109</v>
      </c>
      <c r="D6" s="814"/>
      <c r="E6" s="814"/>
      <c r="F6" s="815"/>
      <c r="G6" s="3"/>
      <c r="H6" s="370"/>
      <c r="I6" s="371"/>
      <c r="J6" s="16"/>
    </row>
    <row r="7" spans="1:10" ht="18.75" customHeight="1">
      <c r="A7" s="86" t="s">
        <v>110</v>
      </c>
      <c r="B7" s="87" t="str">
        <f aca="true" t="shared" si="0" ref="B7:B13">B6</f>
        <v>00.00.00</v>
      </c>
      <c r="C7" s="88" t="s">
        <v>143</v>
      </c>
      <c r="D7" s="131" t="s">
        <v>446</v>
      </c>
      <c r="E7" s="89">
        <v>1</v>
      </c>
      <c r="F7" s="163">
        <f aca="true" t="shared" si="1" ref="F7:F13">E7</f>
        <v>1</v>
      </c>
      <c r="G7" s="3"/>
      <c r="H7" s="370"/>
      <c r="I7" s="371"/>
      <c r="J7" s="16"/>
    </row>
    <row r="8" spans="1:10" ht="40.5" customHeight="1">
      <c r="A8" s="86" t="s">
        <v>111</v>
      </c>
      <c r="B8" s="87" t="str">
        <f t="shared" si="0"/>
        <v>00.00.00</v>
      </c>
      <c r="C8" s="88" t="s">
        <v>197</v>
      </c>
      <c r="D8" s="131" t="s">
        <v>446</v>
      </c>
      <c r="E8" s="89">
        <v>1</v>
      </c>
      <c r="F8" s="163">
        <f t="shared" si="1"/>
        <v>1</v>
      </c>
      <c r="G8" s="3"/>
      <c r="H8" s="370"/>
      <c r="I8" s="371"/>
      <c r="J8" s="16"/>
    </row>
    <row r="9" spans="1:10" ht="28.5" customHeight="1">
      <c r="A9" s="86" t="s">
        <v>112</v>
      </c>
      <c r="B9" s="87" t="str">
        <f t="shared" si="0"/>
        <v>00.00.00</v>
      </c>
      <c r="C9" s="88" t="s">
        <v>652</v>
      </c>
      <c r="D9" s="131" t="s">
        <v>446</v>
      </c>
      <c r="E9" s="89">
        <v>1</v>
      </c>
      <c r="F9" s="163">
        <f t="shared" si="1"/>
        <v>1</v>
      </c>
      <c r="G9" s="3"/>
      <c r="H9" s="370"/>
      <c r="I9" s="371"/>
      <c r="J9" s="16"/>
    </row>
    <row r="10" spans="1:10" ht="38.25" customHeight="1">
      <c r="A10" s="86" t="s">
        <v>113</v>
      </c>
      <c r="B10" s="87" t="str">
        <f t="shared" si="0"/>
        <v>00.00.00</v>
      </c>
      <c r="C10" s="88" t="s">
        <v>230</v>
      </c>
      <c r="D10" s="131" t="s">
        <v>446</v>
      </c>
      <c r="E10" s="89">
        <v>1</v>
      </c>
      <c r="F10" s="163">
        <f t="shared" si="1"/>
        <v>1</v>
      </c>
      <c r="G10" s="3"/>
      <c r="H10" s="370"/>
      <c r="I10" s="371"/>
      <c r="J10" s="16"/>
    </row>
    <row r="11" spans="1:10" ht="28.5" customHeight="1">
      <c r="A11" s="86" t="s">
        <v>114</v>
      </c>
      <c r="B11" s="87" t="str">
        <f>B10</f>
        <v>00.00.00</v>
      </c>
      <c r="C11" s="88" t="s">
        <v>448</v>
      </c>
      <c r="D11" s="131" t="s">
        <v>446</v>
      </c>
      <c r="E11" s="89">
        <v>1</v>
      </c>
      <c r="F11" s="163">
        <f t="shared" si="1"/>
        <v>1</v>
      </c>
      <c r="G11" s="3"/>
      <c r="H11" s="370"/>
      <c r="I11" s="371"/>
      <c r="J11" s="16"/>
    </row>
    <row r="12" spans="1:10" ht="51.75" customHeight="1">
      <c r="A12" s="86" t="s">
        <v>115</v>
      </c>
      <c r="B12" s="87" t="str">
        <f t="shared" si="0"/>
        <v>00.00.00</v>
      </c>
      <c r="C12" s="88" t="s">
        <v>708</v>
      </c>
      <c r="D12" s="131" t="s">
        <v>446</v>
      </c>
      <c r="E12" s="89">
        <v>1</v>
      </c>
      <c r="F12" s="163">
        <f t="shared" si="1"/>
        <v>1</v>
      </c>
      <c r="G12" s="3"/>
      <c r="H12" s="370"/>
      <c r="I12" s="371"/>
      <c r="J12" s="16"/>
    </row>
    <row r="13" spans="1:10" ht="69.75" customHeight="1">
      <c r="A13" s="86" t="s">
        <v>144</v>
      </c>
      <c r="B13" s="87" t="str">
        <f t="shared" si="0"/>
        <v>00.00.00</v>
      </c>
      <c r="C13" s="88" t="s">
        <v>551</v>
      </c>
      <c r="D13" s="131" t="s">
        <v>446</v>
      </c>
      <c r="E13" s="89">
        <v>1</v>
      </c>
      <c r="F13" s="163">
        <f t="shared" si="1"/>
        <v>1</v>
      </c>
      <c r="G13" s="3"/>
      <c r="H13" s="370"/>
      <c r="I13" s="371"/>
      <c r="J13" s="16"/>
    </row>
    <row r="14" spans="1:10" ht="20.25" customHeight="1">
      <c r="A14" s="27" t="s">
        <v>38</v>
      </c>
      <c r="B14" s="847" t="s">
        <v>568</v>
      </c>
      <c r="C14" s="852"/>
      <c r="D14" s="852"/>
      <c r="E14" s="852"/>
      <c r="F14" s="902"/>
      <c r="G14" s="3"/>
      <c r="H14" s="891"/>
      <c r="I14" s="892"/>
      <c r="J14" s="16"/>
    </row>
    <row r="15" spans="1:9" s="374" customFormat="1" ht="27" customHeight="1">
      <c r="A15" s="28" t="s">
        <v>60</v>
      </c>
      <c r="B15" s="25" t="s">
        <v>59</v>
      </c>
      <c r="C15" s="848" t="s">
        <v>198</v>
      </c>
      <c r="D15" s="848"/>
      <c r="E15" s="848"/>
      <c r="F15" s="901"/>
      <c r="H15" s="903"/>
      <c r="I15" s="904"/>
    </row>
    <row r="16" spans="1:10" ht="18" customHeight="1">
      <c r="A16" s="84" t="s">
        <v>34</v>
      </c>
      <c r="B16" s="96" t="s">
        <v>13</v>
      </c>
      <c r="C16" s="814" t="s">
        <v>116</v>
      </c>
      <c r="D16" s="814"/>
      <c r="E16" s="850"/>
      <c r="F16" s="905"/>
      <c r="G16" s="3"/>
      <c r="H16" s="801"/>
      <c r="I16" s="801"/>
      <c r="J16" s="16"/>
    </row>
    <row r="17" spans="1:10" s="14" customFormat="1" ht="18.75" customHeight="1">
      <c r="A17" s="86">
        <v>2</v>
      </c>
      <c r="B17" s="98" t="s">
        <v>145</v>
      </c>
      <c r="C17" s="99" t="s">
        <v>232</v>
      </c>
      <c r="D17" s="97" t="s">
        <v>223</v>
      </c>
      <c r="E17" s="101" t="s">
        <v>34</v>
      </c>
      <c r="F17" s="431">
        <f>SUM(E18:E18)</f>
        <v>0.06</v>
      </c>
      <c r="G17" s="47"/>
      <c r="H17" s="43">
        <v>3524.44</v>
      </c>
      <c r="I17" s="43">
        <f>H17*F17</f>
        <v>211.47</v>
      </c>
      <c r="J17" s="17"/>
    </row>
    <row r="18" spans="1:10" ht="71.25" customHeight="1">
      <c r="A18" s="86"/>
      <c r="B18" s="102"/>
      <c r="C18" s="103" t="s">
        <v>660</v>
      </c>
      <c r="D18" s="104" t="s">
        <v>223</v>
      </c>
      <c r="E18" s="105">
        <f>(260-200)/1000</f>
        <v>0.06</v>
      </c>
      <c r="F18" s="121" t="s">
        <v>34</v>
      </c>
      <c r="G18" s="3"/>
      <c r="H18" s="43"/>
      <c r="I18" s="43"/>
      <c r="J18" s="16"/>
    </row>
    <row r="19" spans="1:10" ht="16.5" customHeight="1">
      <c r="A19" s="84" t="s">
        <v>34</v>
      </c>
      <c r="B19" s="432" t="s">
        <v>552</v>
      </c>
      <c r="C19" s="814" t="s">
        <v>553</v>
      </c>
      <c r="D19" s="814"/>
      <c r="E19" s="850"/>
      <c r="F19" s="905"/>
      <c r="G19" s="3"/>
      <c r="H19" s="76"/>
      <c r="I19" s="77"/>
      <c r="J19" s="16"/>
    </row>
    <row r="20" spans="1:10" ht="19.5" customHeight="1">
      <c r="A20" s="86">
        <v>3</v>
      </c>
      <c r="B20" s="98" t="s">
        <v>555</v>
      </c>
      <c r="C20" s="99" t="s">
        <v>554</v>
      </c>
      <c r="D20" s="97" t="s">
        <v>12</v>
      </c>
      <c r="E20" s="101" t="s">
        <v>34</v>
      </c>
      <c r="F20" s="431">
        <f>SUM(E21:E21)</f>
        <v>0</v>
      </c>
      <c r="G20" s="3"/>
      <c r="H20" s="76"/>
      <c r="I20" s="77"/>
      <c r="J20" s="16"/>
    </row>
    <row r="21" spans="1:10" ht="64.5" customHeight="1">
      <c r="A21" s="86"/>
      <c r="B21" s="102"/>
      <c r="C21" s="103" t="s">
        <v>661</v>
      </c>
      <c r="D21" s="104" t="s">
        <v>12</v>
      </c>
      <c r="E21" s="105">
        <v>0</v>
      </c>
      <c r="F21" s="121" t="s">
        <v>34</v>
      </c>
      <c r="G21" s="3"/>
      <c r="H21" s="76"/>
      <c r="I21" s="77"/>
      <c r="J21" s="16"/>
    </row>
    <row r="22" spans="1:10" ht="19.5" customHeight="1">
      <c r="A22" s="86">
        <v>4</v>
      </c>
      <c r="B22" s="98" t="s">
        <v>556</v>
      </c>
      <c r="C22" s="99" t="s">
        <v>557</v>
      </c>
      <c r="D22" s="97" t="s">
        <v>199</v>
      </c>
      <c r="E22" s="101" t="s">
        <v>34</v>
      </c>
      <c r="F22" s="431">
        <f>SUM(E23:E23)</f>
        <v>0</v>
      </c>
      <c r="G22" s="3"/>
      <c r="H22" s="76"/>
      <c r="I22" s="77"/>
      <c r="J22" s="16"/>
    </row>
    <row r="23" spans="1:10" ht="54" customHeight="1">
      <c r="A23" s="86"/>
      <c r="B23" s="102"/>
      <c r="C23" s="103" t="s">
        <v>662</v>
      </c>
      <c r="D23" s="104" t="s">
        <v>200</v>
      </c>
      <c r="E23" s="105">
        <v>0</v>
      </c>
      <c r="F23" s="121" t="s">
        <v>34</v>
      </c>
      <c r="G23" s="3"/>
      <c r="H23" s="76"/>
      <c r="I23" s="77"/>
      <c r="J23" s="16"/>
    </row>
    <row r="24" spans="1:10" ht="18" customHeight="1">
      <c r="A24" s="84" t="s">
        <v>34</v>
      </c>
      <c r="B24" s="85" t="s">
        <v>14</v>
      </c>
      <c r="C24" s="798" t="s">
        <v>117</v>
      </c>
      <c r="D24" s="799"/>
      <c r="E24" s="799"/>
      <c r="F24" s="800"/>
      <c r="G24" s="3"/>
      <c r="H24" s="906"/>
      <c r="I24" s="907"/>
      <c r="J24" s="16"/>
    </row>
    <row r="25" spans="1:10" s="14" customFormat="1" ht="28.5" customHeight="1">
      <c r="A25" s="86">
        <v>5</v>
      </c>
      <c r="B25" s="98" t="s">
        <v>562</v>
      </c>
      <c r="C25" s="99" t="s">
        <v>561</v>
      </c>
      <c r="D25" s="97" t="s">
        <v>199</v>
      </c>
      <c r="E25" s="101" t="s">
        <v>34</v>
      </c>
      <c r="F25" s="431">
        <f>E26</f>
        <v>0</v>
      </c>
      <c r="G25" s="18"/>
      <c r="H25" s="43">
        <v>0.48</v>
      </c>
      <c r="I25" s="43">
        <f>H25*F25</f>
        <v>0</v>
      </c>
      <c r="J25" s="17"/>
    </row>
    <row r="26" spans="1:10" ht="68.25" customHeight="1">
      <c r="A26" s="86"/>
      <c r="B26" s="102"/>
      <c r="C26" s="103" t="s">
        <v>663</v>
      </c>
      <c r="D26" s="104" t="s">
        <v>200</v>
      </c>
      <c r="E26" s="105">
        <v>0</v>
      </c>
      <c r="F26" s="151" t="s">
        <v>34</v>
      </c>
      <c r="G26" s="3"/>
      <c r="H26" s="43"/>
      <c r="I26" s="43"/>
      <c r="J26" s="16"/>
    </row>
    <row r="27" spans="1:12" ht="27.75" customHeight="1">
      <c r="A27" s="86">
        <v>5</v>
      </c>
      <c r="B27" s="98" t="s">
        <v>295</v>
      </c>
      <c r="C27" s="99" t="s">
        <v>565</v>
      </c>
      <c r="D27" s="97" t="s">
        <v>199</v>
      </c>
      <c r="E27" s="101" t="s">
        <v>34</v>
      </c>
      <c r="F27" s="431">
        <f>E28</f>
        <v>0</v>
      </c>
      <c r="G27" s="3"/>
      <c r="H27" s="43"/>
      <c r="I27" s="43"/>
      <c r="J27" s="16"/>
      <c r="L27" s="391"/>
    </row>
    <row r="28" spans="1:10" ht="54" customHeight="1">
      <c r="A28" s="86"/>
      <c r="B28" s="102"/>
      <c r="C28" s="103" t="s">
        <v>566</v>
      </c>
      <c r="D28" s="104" t="s">
        <v>200</v>
      </c>
      <c r="E28" s="105">
        <v>0</v>
      </c>
      <c r="F28" s="151" t="s">
        <v>34</v>
      </c>
      <c r="G28" s="3"/>
      <c r="H28" s="43"/>
      <c r="I28" s="43"/>
      <c r="J28" s="16"/>
    </row>
    <row r="29" spans="1:10" ht="18" customHeight="1" hidden="1">
      <c r="A29" s="84" t="s">
        <v>34</v>
      </c>
      <c r="B29" s="85" t="s">
        <v>15</v>
      </c>
      <c r="C29" s="814" t="s">
        <v>10</v>
      </c>
      <c r="D29" s="814"/>
      <c r="E29" s="814"/>
      <c r="F29" s="815"/>
      <c r="G29" s="3"/>
      <c r="H29" s="801"/>
      <c r="I29" s="801"/>
      <c r="J29" s="16"/>
    </row>
    <row r="30" spans="1:10" ht="18" customHeight="1" hidden="1">
      <c r="A30" s="147">
        <v>6</v>
      </c>
      <c r="B30" s="135" t="s">
        <v>30</v>
      </c>
      <c r="C30" s="376" t="s">
        <v>567</v>
      </c>
      <c r="D30" s="377" t="s">
        <v>560</v>
      </c>
      <c r="E30" s="272" t="s">
        <v>34</v>
      </c>
      <c r="F30" s="378">
        <f>SUM(E31)</f>
        <v>0</v>
      </c>
      <c r="G30" s="3"/>
      <c r="H30" s="369"/>
      <c r="I30" s="369"/>
      <c r="J30" s="16"/>
    </row>
    <row r="31" spans="1:10" ht="72.75" customHeight="1" hidden="1">
      <c r="A31" s="147"/>
      <c r="B31" s="379"/>
      <c r="C31" s="380" t="s">
        <v>569</v>
      </c>
      <c r="D31" s="381" t="s">
        <v>564</v>
      </c>
      <c r="E31" s="382">
        <v>0</v>
      </c>
      <c r="F31" s="384" t="s">
        <v>34</v>
      </c>
      <c r="G31" s="3"/>
      <c r="H31" s="369"/>
      <c r="I31" s="369"/>
      <c r="J31" s="16"/>
    </row>
    <row r="32" spans="1:10" ht="43.5" customHeight="1" hidden="1">
      <c r="A32" s="385" t="s">
        <v>35</v>
      </c>
      <c r="B32" s="386" t="str">
        <f>B30</f>
        <v>01.02.04.11</v>
      </c>
      <c r="C32" s="387" t="s">
        <v>570</v>
      </c>
      <c r="D32" s="388" t="s">
        <v>571</v>
      </c>
      <c r="E32" s="389">
        <f>E31*0.25</f>
        <v>0</v>
      </c>
      <c r="F32" s="390">
        <f>E32</f>
        <v>0</v>
      </c>
      <c r="G32" s="3"/>
      <c r="H32" s="369"/>
      <c r="I32" s="369"/>
      <c r="J32" s="16"/>
    </row>
    <row r="33" spans="1:10" s="14" customFormat="1" ht="19.5" customHeight="1" hidden="1">
      <c r="A33" s="147">
        <v>7</v>
      </c>
      <c r="B33" s="135" t="s">
        <v>119</v>
      </c>
      <c r="C33" s="376" t="s">
        <v>572</v>
      </c>
      <c r="D33" s="377" t="s">
        <v>560</v>
      </c>
      <c r="E33" s="272" t="s">
        <v>34</v>
      </c>
      <c r="F33" s="378">
        <f>SUM(E34)</f>
        <v>0</v>
      </c>
      <c r="G33" s="18"/>
      <c r="H33" s="43">
        <v>13.88</v>
      </c>
      <c r="I33" s="43">
        <f>H33*F33</f>
        <v>0</v>
      </c>
      <c r="J33" s="17"/>
    </row>
    <row r="34" spans="1:10" ht="33" customHeight="1" hidden="1">
      <c r="A34" s="147"/>
      <c r="B34" s="379"/>
      <c r="C34" s="380" t="s">
        <v>573</v>
      </c>
      <c r="D34" s="381" t="s">
        <v>564</v>
      </c>
      <c r="E34" s="382">
        <v>0</v>
      </c>
      <c r="F34" s="151" t="s">
        <v>34</v>
      </c>
      <c r="G34" s="3"/>
      <c r="H34" s="43"/>
      <c r="I34" s="43"/>
      <c r="J34" s="16"/>
    </row>
    <row r="35" spans="1:177" s="15" customFormat="1" ht="40.5" customHeight="1" hidden="1">
      <c r="A35" s="385" t="s">
        <v>146</v>
      </c>
      <c r="B35" s="386" t="str">
        <f>B33</f>
        <v>01.02.04.21</v>
      </c>
      <c r="C35" s="387" t="s">
        <v>574</v>
      </c>
      <c r="D35" s="388" t="s">
        <v>571</v>
      </c>
      <c r="E35" s="389">
        <v>0</v>
      </c>
      <c r="F35" s="390">
        <f>0.15*F33</f>
        <v>0</v>
      </c>
      <c r="G35" s="12"/>
      <c r="H35" s="45"/>
      <c r="I35" s="45"/>
      <c r="J35" s="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</row>
    <row r="36" spans="1:177" s="15" customFormat="1" ht="20.25" customHeight="1" hidden="1">
      <c r="A36" s="147">
        <v>8</v>
      </c>
      <c r="B36" s="135" t="s">
        <v>31</v>
      </c>
      <c r="C36" s="376" t="s">
        <v>575</v>
      </c>
      <c r="D36" s="377" t="s">
        <v>560</v>
      </c>
      <c r="E36" s="272" t="s">
        <v>34</v>
      </c>
      <c r="F36" s="378">
        <f>SUM(E37)</f>
        <v>0</v>
      </c>
      <c r="G36" s="12"/>
      <c r="H36" s="45"/>
      <c r="I36" s="45"/>
      <c r="J36" s="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</row>
    <row r="37" spans="1:177" s="15" customFormat="1" ht="45.75" customHeight="1" hidden="1">
      <c r="A37" s="147"/>
      <c r="B37" s="379"/>
      <c r="C37" s="380" t="s">
        <v>576</v>
      </c>
      <c r="D37" s="381" t="s">
        <v>564</v>
      </c>
      <c r="E37" s="382">
        <v>0</v>
      </c>
      <c r="F37" s="384" t="s">
        <v>34</v>
      </c>
      <c r="G37" s="12"/>
      <c r="H37" s="45"/>
      <c r="I37" s="45"/>
      <c r="J37" s="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</row>
    <row r="38" spans="1:177" s="15" customFormat="1" ht="39.75" customHeight="1" hidden="1">
      <c r="A38" s="385" t="s">
        <v>147</v>
      </c>
      <c r="B38" s="386" t="str">
        <f>B36</f>
        <v>01.02.04.22</v>
      </c>
      <c r="C38" s="387" t="s">
        <v>577</v>
      </c>
      <c r="D38" s="388" t="s">
        <v>571</v>
      </c>
      <c r="E38" s="389">
        <f>E37*0.05</f>
        <v>0</v>
      </c>
      <c r="F38" s="390">
        <f>E38</f>
        <v>0</v>
      </c>
      <c r="G38" s="12"/>
      <c r="H38" s="45"/>
      <c r="I38" s="45"/>
      <c r="J38" s="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</row>
    <row r="39" spans="1:177" s="15" customFormat="1" ht="18" customHeight="1" hidden="1">
      <c r="A39" s="147">
        <v>9</v>
      </c>
      <c r="B39" s="135" t="s">
        <v>149</v>
      </c>
      <c r="C39" s="376" t="s">
        <v>578</v>
      </c>
      <c r="D39" s="377" t="s">
        <v>560</v>
      </c>
      <c r="E39" s="272" t="s">
        <v>34</v>
      </c>
      <c r="F39" s="378">
        <f>SUM(E40)</f>
        <v>0</v>
      </c>
      <c r="G39" s="12"/>
      <c r="H39" s="45"/>
      <c r="I39" s="45"/>
      <c r="J39" s="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</row>
    <row r="40" spans="1:177" s="15" customFormat="1" ht="58.5" customHeight="1" hidden="1">
      <c r="A40" s="147"/>
      <c r="B40" s="379"/>
      <c r="C40" s="380" t="s">
        <v>579</v>
      </c>
      <c r="D40" s="381" t="s">
        <v>564</v>
      </c>
      <c r="E40" s="382">
        <v>0</v>
      </c>
      <c r="F40" s="384" t="s">
        <v>34</v>
      </c>
      <c r="G40" s="12"/>
      <c r="H40" s="45"/>
      <c r="I40" s="45"/>
      <c r="J40" s="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</row>
    <row r="41" spans="1:177" s="15" customFormat="1" ht="38.25" customHeight="1" hidden="1">
      <c r="A41" s="385" t="s">
        <v>148</v>
      </c>
      <c r="B41" s="386" t="str">
        <f>B39</f>
        <v>01.02.04.24</v>
      </c>
      <c r="C41" s="387" t="s">
        <v>580</v>
      </c>
      <c r="D41" s="388" t="s">
        <v>571</v>
      </c>
      <c r="E41" s="389">
        <v>0</v>
      </c>
      <c r="F41" s="390">
        <f>E41</f>
        <v>0</v>
      </c>
      <c r="G41" s="12"/>
      <c r="H41" s="45"/>
      <c r="I41" s="45"/>
      <c r="J41" s="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</row>
    <row r="42" spans="1:177" s="15" customFormat="1" ht="21" customHeight="1" hidden="1">
      <c r="A42" s="147">
        <v>10</v>
      </c>
      <c r="B42" s="135" t="s">
        <v>581</v>
      </c>
      <c r="C42" s="376" t="s">
        <v>582</v>
      </c>
      <c r="D42" s="377" t="s">
        <v>560</v>
      </c>
      <c r="E42" s="272" t="s">
        <v>34</v>
      </c>
      <c r="F42" s="378">
        <f>SUM(E43)</f>
        <v>0</v>
      </c>
      <c r="G42" s="12"/>
      <c r="H42" s="45"/>
      <c r="I42" s="45"/>
      <c r="J42" s="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</row>
    <row r="43" spans="1:177" s="15" customFormat="1" ht="42.75" customHeight="1" hidden="1">
      <c r="A43" s="147"/>
      <c r="B43" s="379"/>
      <c r="C43" s="380" t="s">
        <v>583</v>
      </c>
      <c r="D43" s="381" t="s">
        <v>564</v>
      </c>
      <c r="E43" s="382">
        <v>0</v>
      </c>
      <c r="F43" s="384" t="s">
        <v>34</v>
      </c>
      <c r="G43" s="12"/>
      <c r="H43" s="45"/>
      <c r="I43" s="45"/>
      <c r="J43" s="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</row>
    <row r="44" spans="1:177" s="15" customFormat="1" ht="38.25" customHeight="1" hidden="1">
      <c r="A44" s="385" t="s">
        <v>36</v>
      </c>
      <c r="B44" s="386" t="str">
        <f>B42</f>
        <v>01.02.04.23</v>
      </c>
      <c r="C44" s="387" t="s">
        <v>584</v>
      </c>
      <c r="D44" s="388" t="s">
        <v>571</v>
      </c>
      <c r="E44" s="389">
        <f>E43*0.1</f>
        <v>0</v>
      </c>
      <c r="F44" s="390">
        <f>E44</f>
        <v>0</v>
      </c>
      <c r="G44" s="12"/>
      <c r="H44" s="45"/>
      <c r="I44" s="45"/>
      <c r="J44" s="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</row>
    <row r="45" spans="1:177" s="15" customFormat="1" ht="18" customHeight="1" hidden="1">
      <c r="A45" s="147">
        <v>11</v>
      </c>
      <c r="B45" s="135" t="s">
        <v>585</v>
      </c>
      <c r="C45" s="376" t="s">
        <v>586</v>
      </c>
      <c r="D45" s="377" t="s">
        <v>11</v>
      </c>
      <c r="E45" s="272" t="s">
        <v>34</v>
      </c>
      <c r="F45" s="378">
        <f>SUM(E46)</f>
        <v>0</v>
      </c>
      <c r="G45" s="12"/>
      <c r="H45" s="45"/>
      <c r="I45" s="45"/>
      <c r="J45" s="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</row>
    <row r="46" spans="1:177" s="15" customFormat="1" ht="39.75" customHeight="1" hidden="1">
      <c r="A46" s="147"/>
      <c r="B46" s="379"/>
      <c r="C46" s="380" t="s">
        <v>587</v>
      </c>
      <c r="D46" s="381" t="s">
        <v>11</v>
      </c>
      <c r="E46" s="382">
        <v>0</v>
      </c>
      <c r="F46" s="384" t="s">
        <v>34</v>
      </c>
      <c r="G46" s="12"/>
      <c r="H46" s="45"/>
      <c r="I46" s="45"/>
      <c r="J46" s="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</row>
    <row r="47" spans="1:177" s="15" customFormat="1" ht="40.5" customHeight="1" hidden="1">
      <c r="A47" s="385" t="s">
        <v>151</v>
      </c>
      <c r="B47" s="386" t="str">
        <f>B45</f>
        <v>01.02.04.41</v>
      </c>
      <c r="C47" s="387" t="s">
        <v>588</v>
      </c>
      <c r="D47" s="388" t="s">
        <v>571</v>
      </c>
      <c r="E47" s="389">
        <v>0</v>
      </c>
      <c r="F47" s="390">
        <f>E47</f>
        <v>0</v>
      </c>
      <c r="G47" s="12"/>
      <c r="H47" s="45"/>
      <c r="I47" s="45"/>
      <c r="J47" s="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</row>
    <row r="48" spans="1:177" s="15" customFormat="1" ht="19.5" customHeight="1" hidden="1">
      <c r="A48" s="147">
        <v>12</v>
      </c>
      <c r="B48" s="135" t="s">
        <v>155</v>
      </c>
      <c r="C48" s="376" t="s">
        <v>589</v>
      </c>
      <c r="D48" s="377" t="s">
        <v>11</v>
      </c>
      <c r="E48" s="272" t="s">
        <v>34</v>
      </c>
      <c r="F48" s="378">
        <f>SUM(E49)</f>
        <v>0</v>
      </c>
      <c r="G48" s="12"/>
      <c r="H48" s="45"/>
      <c r="I48" s="45"/>
      <c r="J48" s="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</row>
    <row r="49" spans="1:177" s="15" customFormat="1" ht="42" customHeight="1" hidden="1">
      <c r="A49" s="385"/>
      <c r="B49" s="386"/>
      <c r="C49" s="387" t="s">
        <v>590</v>
      </c>
      <c r="D49" s="388" t="s">
        <v>11</v>
      </c>
      <c r="E49" s="389">
        <v>0</v>
      </c>
      <c r="F49" s="390" t="s">
        <v>34</v>
      </c>
      <c r="G49" s="12"/>
      <c r="H49" s="45"/>
      <c r="I49" s="45"/>
      <c r="J49" s="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</row>
    <row r="50" spans="1:177" s="15" customFormat="1" ht="40.5" customHeight="1" hidden="1">
      <c r="A50" s="385" t="s">
        <v>591</v>
      </c>
      <c r="B50" s="386" t="str">
        <f>B48</f>
        <v>01.02.04.71</v>
      </c>
      <c r="C50" s="387" t="s">
        <v>592</v>
      </c>
      <c r="D50" s="388" t="s">
        <v>571</v>
      </c>
      <c r="E50" s="389">
        <v>0</v>
      </c>
      <c r="F50" s="390">
        <f>E50</f>
        <v>0</v>
      </c>
      <c r="G50" s="12"/>
      <c r="H50" s="45"/>
      <c r="I50" s="45"/>
      <c r="J50" s="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</row>
    <row r="51" spans="1:177" s="15" customFormat="1" ht="18.75" customHeight="1" hidden="1">
      <c r="A51" s="147">
        <v>13</v>
      </c>
      <c r="B51" s="135" t="s">
        <v>152</v>
      </c>
      <c r="C51" s="376" t="s">
        <v>593</v>
      </c>
      <c r="D51" s="377" t="s">
        <v>11</v>
      </c>
      <c r="E51" s="272" t="s">
        <v>34</v>
      </c>
      <c r="F51" s="378">
        <f>SUM(E52)</f>
        <v>0</v>
      </c>
      <c r="G51" s="12"/>
      <c r="H51" s="45"/>
      <c r="I51" s="45"/>
      <c r="J51" s="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</row>
    <row r="52" spans="1:177" s="15" customFormat="1" ht="45.75" customHeight="1" hidden="1">
      <c r="A52" s="385"/>
      <c r="B52" s="386"/>
      <c r="C52" s="387" t="s">
        <v>594</v>
      </c>
      <c r="D52" s="388" t="s">
        <v>11</v>
      </c>
      <c r="E52" s="389">
        <v>0</v>
      </c>
      <c r="F52" s="390" t="s">
        <v>34</v>
      </c>
      <c r="G52" s="12"/>
      <c r="H52" s="45"/>
      <c r="I52" s="45"/>
      <c r="J52" s="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</row>
    <row r="53" spans="1:177" s="15" customFormat="1" ht="40.5" customHeight="1" hidden="1">
      <c r="A53" s="385" t="s">
        <v>595</v>
      </c>
      <c r="B53" s="386" t="str">
        <f>B51</f>
        <v>01.02.04.72</v>
      </c>
      <c r="C53" s="387" t="s">
        <v>596</v>
      </c>
      <c r="D53" s="388" t="s">
        <v>571</v>
      </c>
      <c r="E53" s="389">
        <v>0</v>
      </c>
      <c r="F53" s="390">
        <f>E53</f>
        <v>0</v>
      </c>
      <c r="G53" s="12"/>
      <c r="H53" s="45"/>
      <c r="I53" s="45"/>
      <c r="J53" s="8"/>
      <c r="K53" s="82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</row>
    <row r="54" spans="1:177" s="15" customFormat="1" ht="18.75" customHeight="1" hidden="1">
      <c r="A54" s="147">
        <v>14</v>
      </c>
      <c r="B54" s="135" t="s">
        <v>32</v>
      </c>
      <c r="C54" s="376" t="s">
        <v>153</v>
      </c>
      <c r="D54" s="377" t="s">
        <v>9</v>
      </c>
      <c r="E54" s="272" t="s">
        <v>34</v>
      </c>
      <c r="F54" s="378">
        <f>SUM(E55)</f>
        <v>0</v>
      </c>
      <c r="G54" s="12"/>
      <c r="H54" s="45"/>
      <c r="I54" s="45"/>
      <c r="J54" s="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</row>
    <row r="55" spans="1:177" s="15" customFormat="1" ht="40.5" customHeight="1" hidden="1">
      <c r="A55" s="385"/>
      <c r="B55" s="386"/>
      <c r="C55" s="387" t="s">
        <v>597</v>
      </c>
      <c r="D55" s="388" t="s">
        <v>9</v>
      </c>
      <c r="E55" s="389">
        <v>0</v>
      </c>
      <c r="F55" s="390" t="s">
        <v>34</v>
      </c>
      <c r="G55" s="12"/>
      <c r="H55" s="45"/>
      <c r="I55" s="45"/>
      <c r="J55" s="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</row>
    <row r="56" spans="1:178" s="15" customFormat="1" ht="18" customHeight="1" hidden="1">
      <c r="A56" s="147">
        <v>15</v>
      </c>
      <c r="B56" s="135" t="s">
        <v>121</v>
      </c>
      <c r="C56" s="376" t="s">
        <v>154</v>
      </c>
      <c r="D56" s="377" t="s">
        <v>9</v>
      </c>
      <c r="E56" s="272" t="s">
        <v>34</v>
      </c>
      <c r="F56" s="378">
        <f>SUM(E57)</f>
        <v>0</v>
      </c>
      <c r="G56" s="12"/>
      <c r="H56" s="45"/>
      <c r="I56" s="45"/>
      <c r="J56" s="81"/>
      <c r="K56" s="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</row>
    <row r="57" spans="1:177" s="15" customFormat="1" ht="32.25" customHeight="1" hidden="1">
      <c r="A57" s="385"/>
      <c r="B57" s="386"/>
      <c r="C57" s="387" t="s">
        <v>598</v>
      </c>
      <c r="D57" s="388" t="s">
        <v>9</v>
      </c>
      <c r="E57" s="389">
        <v>0</v>
      </c>
      <c r="F57" s="390" t="s">
        <v>34</v>
      </c>
      <c r="G57" s="12"/>
      <c r="H57" s="45"/>
      <c r="I57" s="45"/>
      <c r="J57" s="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</row>
    <row r="58" spans="1:177" s="15" customFormat="1" ht="19.5" customHeight="1" hidden="1">
      <c r="A58" s="147">
        <v>16</v>
      </c>
      <c r="B58" s="135" t="s">
        <v>156</v>
      </c>
      <c r="C58" s="376" t="s">
        <v>249</v>
      </c>
      <c r="D58" s="377" t="s">
        <v>599</v>
      </c>
      <c r="E58" s="272" t="s">
        <v>34</v>
      </c>
      <c r="F58" s="378">
        <f>SUM(E59)</f>
        <v>0</v>
      </c>
      <c r="G58" s="12"/>
      <c r="H58" s="45"/>
      <c r="I58" s="45"/>
      <c r="J58" s="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</row>
    <row r="59" spans="1:177" s="15" customFormat="1" ht="45" customHeight="1" hidden="1">
      <c r="A59" s="385"/>
      <c r="B59" s="386"/>
      <c r="C59" s="387" t="s">
        <v>600</v>
      </c>
      <c r="D59" s="388" t="s">
        <v>571</v>
      </c>
      <c r="E59" s="389">
        <v>0</v>
      </c>
      <c r="F59" s="390" t="s">
        <v>34</v>
      </c>
      <c r="G59" s="12"/>
      <c r="H59" s="45"/>
      <c r="I59" s="45"/>
      <c r="J59" s="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</row>
    <row r="60" spans="1:141" s="15" customFormat="1" ht="27" customHeight="1">
      <c r="A60" s="28" t="s">
        <v>62</v>
      </c>
      <c r="B60" s="25" t="s">
        <v>122</v>
      </c>
      <c r="C60" s="848" t="s">
        <v>213</v>
      </c>
      <c r="D60" s="848"/>
      <c r="E60" s="848"/>
      <c r="F60" s="901"/>
      <c r="G60" s="12"/>
      <c r="H60" s="45"/>
      <c r="I60" s="45"/>
      <c r="J60" s="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</row>
    <row r="61" spans="1:141" s="15" customFormat="1" ht="20.25" customHeight="1">
      <c r="A61" s="84" t="s">
        <v>34</v>
      </c>
      <c r="B61" s="85" t="s">
        <v>157</v>
      </c>
      <c r="C61" s="814" t="s">
        <v>162</v>
      </c>
      <c r="D61" s="814"/>
      <c r="E61" s="814"/>
      <c r="F61" s="815"/>
      <c r="G61" s="12"/>
      <c r="H61" s="45"/>
      <c r="I61" s="45"/>
      <c r="J61" s="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</row>
    <row r="62" spans="1:141" s="15" customFormat="1" ht="27" customHeight="1">
      <c r="A62" s="86">
        <v>6</v>
      </c>
      <c r="B62" s="87" t="s">
        <v>158</v>
      </c>
      <c r="C62" s="108" t="s">
        <v>159</v>
      </c>
      <c r="D62" s="97" t="s">
        <v>202</v>
      </c>
      <c r="E62" s="101" t="s">
        <v>34</v>
      </c>
      <c r="F62" s="431">
        <f>E63</f>
        <v>0</v>
      </c>
      <c r="G62" s="12"/>
      <c r="H62" s="45"/>
      <c r="I62" s="45"/>
      <c r="J62" s="8"/>
      <c r="K62" s="78"/>
      <c r="L62" s="392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</row>
    <row r="63" spans="1:141" s="15" customFormat="1" ht="46.5" customHeight="1">
      <c r="A63" s="86"/>
      <c r="B63" s="98"/>
      <c r="C63" s="103" t="s">
        <v>601</v>
      </c>
      <c r="D63" s="104" t="s">
        <v>201</v>
      </c>
      <c r="E63" s="105">
        <v>0</v>
      </c>
      <c r="F63" s="431" t="s">
        <v>34</v>
      </c>
      <c r="G63" s="12"/>
      <c r="H63" s="45"/>
      <c r="I63" s="45"/>
      <c r="J63" s="8"/>
      <c r="K63" s="8"/>
      <c r="L63" s="8"/>
      <c r="M63" s="8"/>
      <c r="N63" s="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</row>
    <row r="64" spans="1:141" s="15" customFormat="1" ht="20.25" customHeight="1">
      <c r="A64" s="86">
        <v>7</v>
      </c>
      <c r="B64" s="87" t="s">
        <v>160</v>
      </c>
      <c r="C64" s="108" t="s">
        <v>161</v>
      </c>
      <c r="D64" s="97" t="s">
        <v>202</v>
      </c>
      <c r="E64" s="101" t="s">
        <v>34</v>
      </c>
      <c r="F64" s="431">
        <f>E65</f>
        <v>0</v>
      </c>
      <c r="G64" s="12"/>
      <c r="H64" s="45"/>
      <c r="I64" s="45"/>
      <c r="J64" s="8"/>
      <c r="K64" s="78"/>
      <c r="L64" s="392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</row>
    <row r="65" spans="1:141" s="15" customFormat="1" ht="74.25" customHeight="1">
      <c r="A65" s="86"/>
      <c r="B65" s="98"/>
      <c r="C65" s="103" t="s">
        <v>602</v>
      </c>
      <c r="D65" s="104" t="s">
        <v>201</v>
      </c>
      <c r="E65" s="105">
        <v>0</v>
      </c>
      <c r="F65" s="431" t="s">
        <v>34</v>
      </c>
      <c r="G65" s="12"/>
      <c r="H65" s="45"/>
      <c r="I65" s="45"/>
      <c r="J65" s="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</row>
    <row r="66" spans="1:10" s="14" customFormat="1" ht="18" customHeight="1">
      <c r="A66" s="84" t="s">
        <v>34</v>
      </c>
      <c r="B66" s="85" t="s">
        <v>75</v>
      </c>
      <c r="C66" s="814" t="s">
        <v>76</v>
      </c>
      <c r="D66" s="814"/>
      <c r="E66" s="814"/>
      <c r="F66" s="815"/>
      <c r="G66" s="18"/>
      <c r="H66" s="43">
        <v>350</v>
      </c>
      <c r="I66" s="43" t="e">
        <f>H66*#REF!</f>
        <v>#REF!</v>
      </c>
      <c r="J66" s="8"/>
    </row>
    <row r="67" spans="1:12" s="14" customFormat="1" ht="19.5" customHeight="1">
      <c r="A67" s="117">
        <v>8</v>
      </c>
      <c r="B67" s="87" t="s">
        <v>163</v>
      </c>
      <c r="C67" s="136" t="s">
        <v>164</v>
      </c>
      <c r="D67" s="109" t="s">
        <v>202</v>
      </c>
      <c r="E67" s="110" t="s">
        <v>34</v>
      </c>
      <c r="F67" s="122">
        <f>E68</f>
        <v>0</v>
      </c>
      <c r="G67" s="18"/>
      <c r="H67" s="43"/>
      <c r="I67" s="43"/>
      <c r="J67" s="8"/>
      <c r="L67" s="393"/>
    </row>
    <row r="68" spans="1:10" s="14" customFormat="1" ht="29.25" customHeight="1">
      <c r="A68" s="117"/>
      <c r="B68" s="98"/>
      <c r="C68" s="137" t="s">
        <v>603</v>
      </c>
      <c r="D68" s="104" t="s">
        <v>201</v>
      </c>
      <c r="E68" s="105">
        <f>E63</f>
        <v>0</v>
      </c>
      <c r="F68" s="151" t="s">
        <v>34</v>
      </c>
      <c r="G68" s="18"/>
      <c r="H68" s="43"/>
      <c r="I68" s="43"/>
      <c r="J68" s="8"/>
    </row>
    <row r="69" spans="1:12" s="14" customFormat="1" ht="27.75" customHeight="1">
      <c r="A69" s="117">
        <v>9</v>
      </c>
      <c r="B69" s="87" t="s">
        <v>163</v>
      </c>
      <c r="C69" s="136" t="s">
        <v>604</v>
      </c>
      <c r="D69" s="109" t="s">
        <v>202</v>
      </c>
      <c r="E69" s="110" t="s">
        <v>34</v>
      </c>
      <c r="F69" s="122">
        <f>E70</f>
        <v>0</v>
      </c>
      <c r="G69" s="18"/>
      <c r="H69" s="43"/>
      <c r="I69" s="43"/>
      <c r="J69" s="8"/>
      <c r="L69" s="393"/>
    </row>
    <row r="70" spans="1:10" s="14" customFormat="1" ht="42" customHeight="1">
      <c r="A70" s="117"/>
      <c r="B70" s="98"/>
      <c r="C70" s="137" t="s">
        <v>605</v>
      </c>
      <c r="D70" s="104" t="s">
        <v>201</v>
      </c>
      <c r="E70" s="105">
        <f>E65</f>
        <v>0</v>
      </c>
      <c r="F70" s="151" t="s">
        <v>34</v>
      </c>
      <c r="G70" s="18"/>
      <c r="H70" s="43"/>
      <c r="I70" s="43"/>
      <c r="J70" s="8"/>
    </row>
    <row r="71" spans="1:10" s="3" customFormat="1" ht="32.25" customHeight="1">
      <c r="A71" s="28" t="s">
        <v>52</v>
      </c>
      <c r="B71" s="25" t="s">
        <v>123</v>
      </c>
      <c r="C71" s="848" t="s">
        <v>203</v>
      </c>
      <c r="D71" s="848"/>
      <c r="E71" s="848"/>
      <c r="F71" s="901"/>
      <c r="H71" s="44"/>
      <c r="I71" s="44"/>
      <c r="J71" s="18"/>
    </row>
    <row r="72" spans="1:10" s="3" customFormat="1" ht="18" customHeight="1" hidden="1">
      <c r="A72" s="375" t="s">
        <v>34</v>
      </c>
      <c r="B72" s="383" t="s">
        <v>165</v>
      </c>
      <c r="C72" s="851" t="s">
        <v>166</v>
      </c>
      <c r="D72" s="851"/>
      <c r="E72" s="851"/>
      <c r="F72" s="908"/>
      <c r="H72" s="73"/>
      <c r="I72" s="74"/>
      <c r="J72" s="18"/>
    </row>
    <row r="73" spans="1:10" s="3" customFormat="1" ht="19.5" customHeight="1" hidden="1">
      <c r="A73" s="394">
        <v>18</v>
      </c>
      <c r="B73" s="373" t="s">
        <v>167</v>
      </c>
      <c r="C73" s="395" t="s">
        <v>168</v>
      </c>
      <c r="D73" s="396" t="s">
        <v>11</v>
      </c>
      <c r="E73" s="211" t="s">
        <v>34</v>
      </c>
      <c r="F73" s="156">
        <f>E74</f>
        <v>2</v>
      </c>
      <c r="H73" s="73"/>
      <c r="I73" s="74"/>
      <c r="J73" s="18"/>
    </row>
    <row r="74" spans="1:10" s="3" customFormat="1" ht="69" customHeight="1" hidden="1">
      <c r="A74" s="394"/>
      <c r="B74" s="135"/>
      <c r="C74" s="397" t="s">
        <v>453</v>
      </c>
      <c r="D74" s="381" t="s">
        <v>11</v>
      </c>
      <c r="E74" s="382">
        <f>2</f>
        <v>2</v>
      </c>
      <c r="F74" s="384" t="s">
        <v>34</v>
      </c>
      <c r="H74" s="73"/>
      <c r="I74" s="74"/>
      <c r="J74" s="18"/>
    </row>
    <row r="75" spans="1:10" s="3" customFormat="1" ht="18" customHeight="1" hidden="1">
      <c r="A75" s="398" t="s">
        <v>301</v>
      </c>
      <c r="B75" s="399" t="str">
        <f>B73</f>
        <v>03.01.01.11</v>
      </c>
      <c r="C75" s="400" t="s">
        <v>169</v>
      </c>
      <c r="D75" s="401" t="s">
        <v>34</v>
      </c>
      <c r="E75" s="402" t="s">
        <v>34</v>
      </c>
      <c r="F75" s="403" t="s">
        <v>34</v>
      </c>
      <c r="H75" s="73"/>
      <c r="I75" s="74"/>
      <c r="J75" s="18"/>
    </row>
    <row r="76" spans="1:10" s="3" customFormat="1" ht="17.25" customHeight="1" hidden="1">
      <c r="A76" s="404"/>
      <c r="B76" s="405"/>
      <c r="C76" s="406" t="s">
        <v>254</v>
      </c>
      <c r="D76" s="407" t="s">
        <v>606</v>
      </c>
      <c r="E76" s="408">
        <f>0.66*2</f>
        <v>1.32</v>
      </c>
      <c r="F76" s="409">
        <f>E76</f>
        <v>1.32</v>
      </c>
      <c r="H76" s="73"/>
      <c r="I76" s="74"/>
      <c r="J76" s="18"/>
    </row>
    <row r="77" spans="1:10" s="3" customFormat="1" ht="27" customHeight="1" hidden="1">
      <c r="A77" s="410"/>
      <c r="B77" s="405"/>
      <c r="C77" s="411" t="s">
        <v>253</v>
      </c>
      <c r="D77" s="407" t="s">
        <v>606</v>
      </c>
      <c r="E77" s="408">
        <f>2*0.13</f>
        <v>0.26</v>
      </c>
      <c r="F77" s="409">
        <f>E77</f>
        <v>0.26</v>
      </c>
      <c r="H77" s="73"/>
      <c r="I77" s="74"/>
      <c r="J77" s="18"/>
    </row>
    <row r="78" spans="1:10" s="3" customFormat="1" ht="20.25" customHeight="1" hidden="1">
      <c r="A78" s="412"/>
      <c r="B78" s="413"/>
      <c r="C78" s="414" t="s">
        <v>255</v>
      </c>
      <c r="D78" s="415" t="s">
        <v>606</v>
      </c>
      <c r="E78" s="416">
        <f>0.66</f>
        <v>0.66</v>
      </c>
      <c r="F78" s="417">
        <f>E78</f>
        <v>0.66</v>
      </c>
      <c r="H78" s="73"/>
      <c r="I78" s="74"/>
      <c r="J78" s="18"/>
    </row>
    <row r="79" spans="1:10" s="3" customFormat="1" ht="19.5" customHeight="1" hidden="1">
      <c r="A79" s="375" t="s">
        <v>34</v>
      </c>
      <c r="B79" s="383" t="s">
        <v>170</v>
      </c>
      <c r="C79" s="851" t="s">
        <v>171</v>
      </c>
      <c r="D79" s="851"/>
      <c r="E79" s="851"/>
      <c r="F79" s="908"/>
      <c r="H79" s="73"/>
      <c r="I79" s="74"/>
      <c r="J79" s="18"/>
    </row>
    <row r="80" spans="1:10" s="3" customFormat="1" ht="18" customHeight="1" hidden="1">
      <c r="A80" s="394">
        <v>21</v>
      </c>
      <c r="B80" s="373" t="s">
        <v>172</v>
      </c>
      <c r="C80" s="395" t="s">
        <v>607</v>
      </c>
      <c r="D80" s="396" t="s">
        <v>11</v>
      </c>
      <c r="E80" s="211" t="s">
        <v>34</v>
      </c>
      <c r="F80" s="156">
        <f>E81</f>
        <v>0</v>
      </c>
      <c r="H80" s="73"/>
      <c r="I80" s="74"/>
      <c r="J80" s="18"/>
    </row>
    <row r="81" spans="1:10" s="3" customFormat="1" ht="30" customHeight="1" hidden="1">
      <c r="A81" s="394"/>
      <c r="B81" s="135"/>
      <c r="C81" s="397" t="s">
        <v>608</v>
      </c>
      <c r="D81" s="381" t="s">
        <v>11</v>
      </c>
      <c r="E81" s="382">
        <v>0</v>
      </c>
      <c r="F81" s="384" t="s">
        <v>34</v>
      </c>
      <c r="H81" s="73"/>
      <c r="I81" s="74"/>
      <c r="J81" s="18"/>
    </row>
    <row r="82" spans="1:9" s="3" customFormat="1" ht="18" customHeight="1">
      <c r="A82" s="84" t="s">
        <v>34</v>
      </c>
      <c r="B82" s="85" t="s">
        <v>102</v>
      </c>
      <c r="C82" s="814" t="s">
        <v>103</v>
      </c>
      <c r="D82" s="814"/>
      <c r="E82" s="814"/>
      <c r="F82" s="815"/>
      <c r="H82" s="73"/>
      <c r="I82" s="74"/>
    </row>
    <row r="83" spans="1:9" s="3" customFormat="1" ht="38.25" customHeight="1">
      <c r="A83" s="117">
        <v>10</v>
      </c>
      <c r="B83" s="87" t="s">
        <v>610</v>
      </c>
      <c r="C83" s="136" t="s">
        <v>664</v>
      </c>
      <c r="D83" s="109" t="s">
        <v>11</v>
      </c>
      <c r="E83" s="110" t="s">
        <v>34</v>
      </c>
      <c r="F83" s="122">
        <f>E84</f>
        <v>51</v>
      </c>
      <c r="H83" s="73"/>
      <c r="I83" s="74"/>
    </row>
    <row r="84" spans="1:9" s="3" customFormat="1" ht="43.5" customHeight="1">
      <c r="A84" s="117"/>
      <c r="B84" s="98"/>
      <c r="C84" s="137" t="s">
        <v>665</v>
      </c>
      <c r="D84" s="104" t="s">
        <v>11</v>
      </c>
      <c r="E84" s="105">
        <f>30+21</f>
        <v>51</v>
      </c>
      <c r="F84" s="151" t="s">
        <v>34</v>
      </c>
      <c r="H84" s="73"/>
      <c r="I84" s="74"/>
    </row>
    <row r="85" spans="1:9" s="3" customFormat="1" ht="17.25" customHeight="1">
      <c r="A85" s="433" t="s">
        <v>36</v>
      </c>
      <c r="B85" s="434" t="str">
        <f>B83</f>
        <v>03.02.01.28</v>
      </c>
      <c r="C85" s="435" t="s">
        <v>175</v>
      </c>
      <c r="D85" s="436" t="s">
        <v>34</v>
      </c>
      <c r="E85" s="437" t="s">
        <v>34</v>
      </c>
      <c r="F85" s="438" t="s">
        <v>34</v>
      </c>
      <c r="H85" s="73"/>
      <c r="I85" s="74"/>
    </row>
    <row r="86" spans="1:12" s="3" customFormat="1" ht="26.25" customHeight="1">
      <c r="A86" s="443"/>
      <c r="B86" s="445"/>
      <c r="C86" s="444" t="s">
        <v>259</v>
      </c>
      <c r="D86" s="440" t="s">
        <v>300</v>
      </c>
      <c r="E86" s="441">
        <f>0.18*1</f>
        <v>0.18</v>
      </c>
      <c r="F86" s="442">
        <f>E86</f>
        <v>0.18</v>
      </c>
      <c r="H86" s="73"/>
      <c r="I86" s="74"/>
      <c r="L86" s="418" t="s">
        <v>670</v>
      </c>
    </row>
    <row r="87" spans="1:12" s="3" customFormat="1" ht="30" customHeight="1">
      <c r="A87" s="443"/>
      <c r="B87" s="445"/>
      <c r="C87" s="439" t="s">
        <v>178</v>
      </c>
      <c r="D87" s="440" t="s">
        <v>300</v>
      </c>
      <c r="E87" s="441">
        <f>1*(1.5*0.85-3.14*0.325*0.325)</f>
        <v>0.94</v>
      </c>
      <c r="F87" s="442">
        <f>E87</f>
        <v>0.94</v>
      </c>
      <c r="H87" s="73"/>
      <c r="I87" s="74"/>
      <c r="L87" s="418"/>
    </row>
    <row r="88" spans="1:12" s="3" customFormat="1" ht="18" customHeight="1">
      <c r="A88" s="446"/>
      <c r="B88" s="447"/>
      <c r="C88" s="448" t="s">
        <v>657</v>
      </c>
      <c r="D88" s="449" t="s">
        <v>11</v>
      </c>
      <c r="E88" s="450">
        <v>1</v>
      </c>
      <c r="F88" s="451">
        <v>1</v>
      </c>
      <c r="H88" s="73"/>
      <c r="I88" s="74"/>
      <c r="L88" s="418"/>
    </row>
    <row r="89" spans="1:12" s="3" customFormat="1" ht="38.25" customHeight="1">
      <c r="A89" s="117">
        <v>11</v>
      </c>
      <c r="B89" s="87" t="s">
        <v>667</v>
      </c>
      <c r="C89" s="136" t="s">
        <v>666</v>
      </c>
      <c r="D89" s="109" t="s">
        <v>11</v>
      </c>
      <c r="E89" s="110" t="s">
        <v>34</v>
      </c>
      <c r="F89" s="122">
        <f>E90</f>
        <v>234.5</v>
      </c>
      <c r="H89" s="73"/>
      <c r="I89" s="74"/>
      <c r="L89" s="418"/>
    </row>
    <row r="90" spans="1:12" s="3" customFormat="1" ht="51.75" customHeight="1">
      <c r="A90" s="117"/>
      <c r="B90" s="98"/>
      <c r="C90" s="137" t="s">
        <v>671</v>
      </c>
      <c r="D90" s="104" t="s">
        <v>11</v>
      </c>
      <c r="E90" s="105">
        <f>48.5+48.5+48.5+23+33+33</f>
        <v>234.5</v>
      </c>
      <c r="F90" s="151" t="s">
        <v>34</v>
      </c>
      <c r="H90" s="73"/>
      <c r="I90" s="74"/>
      <c r="L90" s="418"/>
    </row>
    <row r="91" spans="1:12" s="3" customFormat="1" ht="18" customHeight="1">
      <c r="A91" s="433" t="s">
        <v>151</v>
      </c>
      <c r="B91" s="434" t="str">
        <f>B89</f>
        <v>03.02.01.29</v>
      </c>
      <c r="C91" s="435" t="s">
        <v>175</v>
      </c>
      <c r="D91" s="436" t="s">
        <v>34</v>
      </c>
      <c r="E91" s="437" t="s">
        <v>34</v>
      </c>
      <c r="F91" s="438" t="s">
        <v>34</v>
      </c>
      <c r="H91" s="73"/>
      <c r="I91" s="74"/>
      <c r="L91" s="418" t="s">
        <v>669</v>
      </c>
    </row>
    <row r="92" spans="1:12" s="3" customFormat="1" ht="28.5" customHeight="1">
      <c r="A92" s="443"/>
      <c r="B92" s="445"/>
      <c r="C92" s="444" t="s">
        <v>672</v>
      </c>
      <c r="D92" s="440" t="s">
        <v>300</v>
      </c>
      <c r="E92" s="441">
        <f>0.18*1</f>
        <v>0.18</v>
      </c>
      <c r="F92" s="442">
        <f>E92</f>
        <v>0.18</v>
      </c>
      <c r="H92" s="73"/>
      <c r="I92" s="74"/>
      <c r="L92" s="418"/>
    </row>
    <row r="93" spans="1:12" s="3" customFormat="1" ht="27" customHeight="1">
      <c r="A93" s="443"/>
      <c r="B93" s="445"/>
      <c r="C93" s="439" t="s">
        <v>673</v>
      </c>
      <c r="D93" s="440" t="s">
        <v>300</v>
      </c>
      <c r="E93" s="441">
        <f>1*(1.5*0.85-3.14*0.325*0.325)</f>
        <v>0.94</v>
      </c>
      <c r="F93" s="442">
        <f>E93</f>
        <v>0.94</v>
      </c>
      <c r="H93" s="73"/>
      <c r="I93" s="74"/>
      <c r="L93" s="418"/>
    </row>
    <row r="94" spans="1:12" s="3" customFormat="1" ht="17.25" customHeight="1">
      <c r="A94" s="446"/>
      <c r="B94" s="447"/>
      <c r="C94" s="448" t="s">
        <v>668</v>
      </c>
      <c r="D94" s="449" t="s">
        <v>11</v>
      </c>
      <c r="E94" s="450">
        <v>1</v>
      </c>
      <c r="F94" s="451">
        <v>1</v>
      </c>
      <c r="H94" s="73"/>
      <c r="I94" s="74"/>
      <c r="L94" s="418"/>
    </row>
    <row r="95" spans="1:9" s="3" customFormat="1" ht="18" customHeight="1">
      <c r="A95" s="117">
        <v>12</v>
      </c>
      <c r="B95" s="87" t="s">
        <v>124</v>
      </c>
      <c r="C95" s="136" t="s">
        <v>176</v>
      </c>
      <c r="D95" s="109" t="s">
        <v>11</v>
      </c>
      <c r="E95" s="110" t="s">
        <v>34</v>
      </c>
      <c r="F95" s="122">
        <f>E96</f>
        <v>6</v>
      </c>
      <c r="H95" s="73"/>
      <c r="I95" s="74"/>
    </row>
    <row r="96" spans="1:9" s="3" customFormat="1" ht="58.5" customHeight="1">
      <c r="A96" s="117"/>
      <c r="B96" s="98"/>
      <c r="C96" s="137" t="s">
        <v>674</v>
      </c>
      <c r="D96" s="104" t="s">
        <v>11</v>
      </c>
      <c r="E96" s="105">
        <f>3+3</f>
        <v>6</v>
      </c>
      <c r="F96" s="151" t="s">
        <v>34</v>
      </c>
      <c r="H96" s="73"/>
      <c r="I96" s="74"/>
    </row>
    <row r="97" spans="1:9" s="3" customFormat="1" ht="27.75" customHeight="1">
      <c r="A97" s="117">
        <v>13</v>
      </c>
      <c r="B97" s="87" t="s">
        <v>613</v>
      </c>
      <c r="C97" s="136" t="s">
        <v>658</v>
      </c>
      <c r="D97" s="109" t="s">
        <v>12</v>
      </c>
      <c r="E97" s="110" t="s">
        <v>34</v>
      </c>
      <c r="F97" s="122">
        <f>E98</f>
        <v>2</v>
      </c>
      <c r="H97" s="73"/>
      <c r="I97" s="74"/>
    </row>
    <row r="98" spans="1:9" s="3" customFormat="1" ht="54.75" customHeight="1">
      <c r="A98" s="117"/>
      <c r="B98" s="98"/>
      <c r="C98" s="137" t="s">
        <v>675</v>
      </c>
      <c r="D98" s="104" t="s">
        <v>12</v>
      </c>
      <c r="E98" s="105">
        <f>2</f>
        <v>2</v>
      </c>
      <c r="F98" s="151" t="s">
        <v>34</v>
      </c>
      <c r="H98" s="73"/>
      <c r="I98" s="74"/>
    </row>
    <row r="99" spans="1:9" s="3" customFormat="1" ht="27.75" customHeight="1">
      <c r="A99" s="117">
        <v>14</v>
      </c>
      <c r="B99" s="87" t="s">
        <v>613</v>
      </c>
      <c r="C99" s="136" t="s">
        <v>676</v>
      </c>
      <c r="D99" s="109" t="s">
        <v>12</v>
      </c>
      <c r="E99" s="110" t="s">
        <v>34</v>
      </c>
      <c r="F99" s="122">
        <f>E100</f>
        <v>5</v>
      </c>
      <c r="H99" s="73"/>
      <c r="I99" s="74"/>
    </row>
    <row r="100" spans="1:9" s="3" customFormat="1" ht="63.75" customHeight="1">
      <c r="A100" s="117"/>
      <c r="B100" s="98"/>
      <c r="C100" s="137" t="s">
        <v>677</v>
      </c>
      <c r="D100" s="104" t="s">
        <v>12</v>
      </c>
      <c r="E100" s="105">
        <f>5</f>
        <v>5</v>
      </c>
      <c r="F100" s="151" t="s">
        <v>34</v>
      </c>
      <c r="H100" s="73"/>
      <c r="I100" s="74"/>
    </row>
    <row r="101" spans="1:9" s="3" customFormat="1" ht="29.25" customHeight="1">
      <c r="A101" s="117">
        <v>15</v>
      </c>
      <c r="B101" s="87" t="s">
        <v>615</v>
      </c>
      <c r="C101" s="136" t="s">
        <v>659</v>
      </c>
      <c r="D101" s="109" t="s">
        <v>12</v>
      </c>
      <c r="E101" s="110" t="s">
        <v>34</v>
      </c>
      <c r="F101" s="122">
        <f>E102</f>
        <v>1</v>
      </c>
      <c r="H101" s="73"/>
      <c r="I101" s="74"/>
    </row>
    <row r="102" spans="1:9" s="3" customFormat="1" ht="57" customHeight="1">
      <c r="A102" s="117"/>
      <c r="B102" s="98"/>
      <c r="C102" s="137" t="s">
        <v>678</v>
      </c>
      <c r="D102" s="104" t="s">
        <v>12</v>
      </c>
      <c r="E102" s="105">
        <v>1</v>
      </c>
      <c r="F102" s="151" t="s">
        <v>34</v>
      </c>
      <c r="H102" s="73"/>
      <c r="I102" s="74"/>
    </row>
    <row r="103" spans="1:9" s="3" customFormat="1" ht="18" customHeight="1">
      <c r="A103" s="117">
        <v>16</v>
      </c>
      <c r="B103" s="87" t="s">
        <v>177</v>
      </c>
      <c r="C103" s="136" t="s">
        <v>309</v>
      </c>
      <c r="D103" s="109" t="s">
        <v>12</v>
      </c>
      <c r="E103" s="110" t="s">
        <v>34</v>
      </c>
      <c r="F103" s="122">
        <f>E104</f>
        <v>2</v>
      </c>
      <c r="H103" s="73"/>
      <c r="I103" s="74"/>
    </row>
    <row r="104" spans="1:9" s="3" customFormat="1" ht="70.5" customHeight="1">
      <c r="A104" s="117"/>
      <c r="B104" s="98"/>
      <c r="C104" s="137" t="s">
        <v>679</v>
      </c>
      <c r="D104" s="104" t="s">
        <v>12</v>
      </c>
      <c r="E104" s="105">
        <v>2</v>
      </c>
      <c r="F104" s="151" t="s">
        <v>34</v>
      </c>
      <c r="H104" s="73"/>
      <c r="I104" s="74"/>
    </row>
    <row r="105" spans="1:9" s="3" customFormat="1" ht="18.75" customHeight="1">
      <c r="A105" s="117">
        <v>17</v>
      </c>
      <c r="B105" s="87" t="s">
        <v>700</v>
      </c>
      <c r="C105" s="136" t="s">
        <v>699</v>
      </c>
      <c r="D105" s="109" t="s">
        <v>12</v>
      </c>
      <c r="E105" s="110" t="s">
        <v>34</v>
      </c>
      <c r="F105" s="122">
        <f>E106</f>
        <v>1</v>
      </c>
      <c r="H105" s="73"/>
      <c r="I105" s="74"/>
    </row>
    <row r="106" spans="1:9" s="3" customFormat="1" ht="55.5" customHeight="1">
      <c r="A106" s="117"/>
      <c r="B106" s="98"/>
      <c r="C106" s="137" t="s">
        <v>701</v>
      </c>
      <c r="D106" s="104" t="s">
        <v>12</v>
      </c>
      <c r="E106" s="105">
        <v>1</v>
      </c>
      <c r="F106" s="151" t="s">
        <v>34</v>
      </c>
      <c r="H106" s="73"/>
      <c r="I106" s="74"/>
    </row>
    <row r="107" spans="1:9" s="3" customFormat="1" ht="27" customHeight="1">
      <c r="A107" s="28" t="s">
        <v>53</v>
      </c>
      <c r="B107" s="25" t="s">
        <v>61</v>
      </c>
      <c r="C107" s="848" t="s">
        <v>204</v>
      </c>
      <c r="D107" s="848"/>
      <c r="E107" s="848"/>
      <c r="F107" s="901"/>
      <c r="H107" s="73"/>
      <c r="I107" s="74"/>
    </row>
    <row r="108" spans="1:14" s="1" customFormat="1" ht="18" customHeight="1">
      <c r="A108" s="84" t="s">
        <v>34</v>
      </c>
      <c r="B108" s="85" t="s">
        <v>107</v>
      </c>
      <c r="C108" s="814" t="s">
        <v>108</v>
      </c>
      <c r="D108" s="814"/>
      <c r="E108" s="814"/>
      <c r="F108" s="815"/>
      <c r="H108" s="896"/>
      <c r="I108" s="897"/>
      <c r="J108" s="3"/>
      <c r="N108" s="3"/>
    </row>
    <row r="109" spans="1:10" s="1" customFormat="1" ht="27.75" customHeight="1">
      <c r="A109" s="119">
        <v>18</v>
      </c>
      <c r="B109" s="112" t="s">
        <v>261</v>
      </c>
      <c r="C109" s="139" t="s">
        <v>262</v>
      </c>
      <c r="D109" s="109" t="s">
        <v>199</v>
      </c>
      <c r="E109" s="110" t="s">
        <v>34</v>
      </c>
      <c r="F109" s="122">
        <f>E110</f>
        <v>126</v>
      </c>
      <c r="H109" s="370"/>
      <c r="I109" s="371"/>
      <c r="J109" s="3"/>
    </row>
    <row r="110" spans="1:13" s="1" customFormat="1" ht="72.75" customHeight="1">
      <c r="A110" s="119"/>
      <c r="B110" s="112"/>
      <c r="C110" s="138" t="s">
        <v>680</v>
      </c>
      <c r="D110" s="111" t="s">
        <v>200</v>
      </c>
      <c r="E110" s="107">
        <f>126</f>
        <v>126</v>
      </c>
      <c r="F110" s="152" t="s">
        <v>34</v>
      </c>
      <c r="H110" s="370"/>
      <c r="I110" s="371"/>
      <c r="J110" s="177"/>
      <c r="L110" s="419" t="s">
        <v>618</v>
      </c>
      <c r="M110" s="419"/>
    </row>
    <row r="111" spans="1:10" s="1" customFormat="1" ht="18.75" customHeight="1">
      <c r="A111" s="84" t="s">
        <v>34</v>
      </c>
      <c r="B111" s="85" t="s">
        <v>125</v>
      </c>
      <c r="C111" s="814" t="s">
        <v>126</v>
      </c>
      <c r="D111" s="814"/>
      <c r="E111" s="814"/>
      <c r="F111" s="815"/>
      <c r="H111" s="370"/>
      <c r="I111" s="371"/>
      <c r="J111" s="3"/>
    </row>
    <row r="112" spans="1:10" s="1" customFormat="1" ht="21" customHeight="1">
      <c r="A112" s="119">
        <v>19</v>
      </c>
      <c r="B112" s="112" t="s">
        <v>179</v>
      </c>
      <c r="C112" s="139" t="s">
        <v>619</v>
      </c>
      <c r="D112" s="109" t="s">
        <v>199</v>
      </c>
      <c r="E112" s="110" t="s">
        <v>34</v>
      </c>
      <c r="F112" s="122">
        <f>E113</f>
        <v>146.54</v>
      </c>
      <c r="H112" s="370"/>
      <c r="I112" s="371"/>
      <c r="J112" s="3"/>
    </row>
    <row r="113" spans="1:13" s="1" customFormat="1" ht="95.25" customHeight="1">
      <c r="A113" s="119"/>
      <c r="B113" s="112"/>
      <c r="C113" s="138" t="s">
        <v>681</v>
      </c>
      <c r="D113" s="111" t="s">
        <v>200</v>
      </c>
      <c r="E113" s="107">
        <f>26.4+5+88.5+26.64</f>
        <v>146.54</v>
      </c>
      <c r="F113" s="152" t="s">
        <v>34</v>
      </c>
      <c r="H113" s="370"/>
      <c r="I113" s="371"/>
      <c r="K113" s="419" t="s">
        <v>620</v>
      </c>
      <c r="M113" s="1">
        <f>20*1.32</f>
        <v>26.4</v>
      </c>
    </row>
    <row r="114" spans="1:14" s="1" customFormat="1" ht="19.5" customHeight="1">
      <c r="A114" s="84" t="s">
        <v>34</v>
      </c>
      <c r="B114" s="85" t="s">
        <v>17</v>
      </c>
      <c r="C114" s="814" t="s">
        <v>18</v>
      </c>
      <c r="D114" s="814"/>
      <c r="E114" s="814"/>
      <c r="F114" s="815"/>
      <c r="H114" s="370"/>
      <c r="I114" s="371"/>
      <c r="N114" s="1">
        <f>98.2*1.1</f>
        <v>108.02</v>
      </c>
    </row>
    <row r="115" spans="1:9" s="1" customFormat="1" ht="19.5" customHeight="1">
      <c r="A115" s="119">
        <v>20</v>
      </c>
      <c r="B115" s="113" t="s">
        <v>622</v>
      </c>
      <c r="C115" s="139" t="s">
        <v>621</v>
      </c>
      <c r="D115" s="109" t="s">
        <v>199</v>
      </c>
      <c r="E115" s="110" t="s">
        <v>34</v>
      </c>
      <c r="F115" s="122">
        <f>E116</f>
        <v>33.44</v>
      </c>
      <c r="H115" s="370"/>
      <c r="I115" s="371"/>
    </row>
    <row r="116" spans="1:16" s="1" customFormat="1" ht="89.25" customHeight="1">
      <c r="A116" s="118"/>
      <c r="B116" s="114"/>
      <c r="C116" s="138" t="s">
        <v>682</v>
      </c>
      <c r="D116" s="111" t="s">
        <v>200</v>
      </c>
      <c r="E116" s="107">
        <f>20+13.44</f>
        <v>33.44</v>
      </c>
      <c r="F116" s="152" t="s">
        <v>34</v>
      </c>
      <c r="H116" s="370"/>
      <c r="I116" s="371"/>
      <c r="K116" s="419" t="s">
        <v>620</v>
      </c>
      <c r="M116" s="1">
        <f>20</f>
        <v>20</v>
      </c>
      <c r="O116" s="1">
        <v>13.44</v>
      </c>
      <c r="P116" s="1">
        <v>85.51</v>
      </c>
    </row>
    <row r="117" spans="1:14" s="8" customFormat="1" ht="18.75" customHeight="1">
      <c r="A117" s="119">
        <v>21</v>
      </c>
      <c r="B117" s="113" t="s">
        <v>183</v>
      </c>
      <c r="C117" s="139" t="s">
        <v>624</v>
      </c>
      <c r="D117" s="109" t="s">
        <v>199</v>
      </c>
      <c r="E117" s="110" t="s">
        <v>34</v>
      </c>
      <c r="F117" s="122">
        <f>E118</f>
        <v>20</v>
      </c>
      <c r="G117" s="7"/>
      <c r="H117" s="801"/>
      <c r="I117" s="801"/>
      <c r="J117" s="1"/>
      <c r="K117" s="1"/>
      <c r="N117" s="1">
        <f>98.2</f>
        <v>98.2</v>
      </c>
    </row>
    <row r="118" spans="1:14" s="11" customFormat="1" ht="43.5" customHeight="1">
      <c r="A118" s="118"/>
      <c r="B118" s="114"/>
      <c r="C118" s="138" t="s">
        <v>683</v>
      </c>
      <c r="D118" s="111" t="s">
        <v>200</v>
      </c>
      <c r="E118" s="107">
        <f>20</f>
        <v>20</v>
      </c>
      <c r="F118" s="152" t="s">
        <v>34</v>
      </c>
      <c r="H118" s="43">
        <v>1.26</v>
      </c>
      <c r="I118" s="43">
        <f>H118*F117</f>
        <v>25.2</v>
      </c>
      <c r="J118" s="1"/>
      <c r="K118" s="419" t="s">
        <v>620</v>
      </c>
      <c r="N118" s="8"/>
    </row>
    <row r="119" spans="1:11" s="11" customFormat="1" ht="18.75" customHeight="1">
      <c r="A119" s="119">
        <v>22</v>
      </c>
      <c r="B119" s="112" t="s">
        <v>184</v>
      </c>
      <c r="C119" s="139" t="s">
        <v>185</v>
      </c>
      <c r="D119" s="109" t="s">
        <v>199</v>
      </c>
      <c r="E119" s="110" t="s">
        <v>34</v>
      </c>
      <c r="F119" s="122">
        <f>E120</f>
        <v>33.44</v>
      </c>
      <c r="H119" s="43"/>
      <c r="I119" s="43"/>
      <c r="J119" s="1"/>
      <c r="K119" s="8"/>
    </row>
    <row r="120" spans="1:11" s="11" customFormat="1" ht="94.5" customHeight="1">
      <c r="A120" s="119"/>
      <c r="B120" s="114"/>
      <c r="C120" s="186" t="s">
        <v>684</v>
      </c>
      <c r="D120" s="111" t="s">
        <v>200</v>
      </c>
      <c r="E120" s="107">
        <f>20+13.44</f>
        <v>33.44</v>
      </c>
      <c r="F120" s="122" t="s">
        <v>34</v>
      </c>
      <c r="H120" s="43"/>
      <c r="I120" s="43"/>
      <c r="J120" s="1"/>
      <c r="K120" s="419" t="s">
        <v>620</v>
      </c>
    </row>
    <row r="121" spans="1:14" s="8" customFormat="1" ht="17.25" customHeight="1">
      <c r="A121" s="119">
        <v>23</v>
      </c>
      <c r="B121" s="112" t="s">
        <v>78</v>
      </c>
      <c r="C121" s="139" t="s">
        <v>77</v>
      </c>
      <c r="D121" s="109" t="s">
        <v>199</v>
      </c>
      <c r="E121" s="110" t="s">
        <v>34</v>
      </c>
      <c r="F121" s="122">
        <f>E122</f>
        <v>20</v>
      </c>
      <c r="H121" s="45"/>
      <c r="I121" s="45"/>
      <c r="J121" s="1"/>
      <c r="K121" s="11"/>
      <c r="N121" s="11"/>
    </row>
    <row r="122" spans="1:11" s="8" customFormat="1" ht="42" customHeight="1">
      <c r="A122" s="119"/>
      <c r="B122" s="114"/>
      <c r="C122" s="138" t="s">
        <v>685</v>
      </c>
      <c r="D122" s="111" t="s">
        <v>200</v>
      </c>
      <c r="E122" s="107">
        <f>E118</f>
        <v>20</v>
      </c>
      <c r="F122" s="122" t="s">
        <v>34</v>
      </c>
      <c r="H122" s="45"/>
      <c r="I122" s="45"/>
      <c r="J122" s="1"/>
      <c r="K122" s="419" t="s">
        <v>620</v>
      </c>
    </row>
    <row r="123" spans="1:10" s="8" customFormat="1" ht="18" customHeight="1">
      <c r="A123" s="84" t="s">
        <v>34</v>
      </c>
      <c r="B123" s="85" t="s">
        <v>19</v>
      </c>
      <c r="C123" s="814" t="s">
        <v>20</v>
      </c>
      <c r="D123" s="814"/>
      <c r="E123" s="814"/>
      <c r="F123" s="815"/>
      <c r="H123" s="45"/>
      <c r="I123" s="45"/>
      <c r="J123" s="1"/>
    </row>
    <row r="124" spans="1:10" s="8" customFormat="1" ht="30" customHeight="1">
      <c r="A124" s="119">
        <v>24</v>
      </c>
      <c r="B124" s="113" t="s">
        <v>633</v>
      </c>
      <c r="C124" s="142" t="s">
        <v>634</v>
      </c>
      <c r="D124" s="109" t="s">
        <v>199</v>
      </c>
      <c r="E124" s="110" t="s">
        <v>34</v>
      </c>
      <c r="F124" s="122">
        <f>SUM(E125:E125)</f>
        <v>94</v>
      </c>
      <c r="H124" s="45"/>
      <c r="I124" s="45"/>
      <c r="J124" s="1"/>
    </row>
    <row r="125" spans="1:11" s="8" customFormat="1" ht="44.25" customHeight="1">
      <c r="A125" s="119"/>
      <c r="B125" s="114"/>
      <c r="C125" s="138" t="s">
        <v>686</v>
      </c>
      <c r="D125" s="111" t="s">
        <v>200</v>
      </c>
      <c r="E125" s="107">
        <f>89+5</f>
        <v>94</v>
      </c>
      <c r="F125" s="122" t="s">
        <v>34</v>
      </c>
      <c r="H125" s="45"/>
      <c r="I125" s="45"/>
      <c r="J125" s="1"/>
      <c r="K125" s="419" t="s">
        <v>620</v>
      </c>
    </row>
    <row r="126" spans="1:9" s="8" customFormat="1" ht="29.25" customHeight="1">
      <c r="A126" s="119">
        <v>25</v>
      </c>
      <c r="B126" s="113" t="s">
        <v>628</v>
      </c>
      <c r="C126" s="142" t="s">
        <v>629</v>
      </c>
      <c r="D126" s="109" t="s">
        <v>199</v>
      </c>
      <c r="E126" s="110" t="s">
        <v>34</v>
      </c>
      <c r="F126" s="122">
        <f>SUM(E127:E127)</f>
        <v>20</v>
      </c>
      <c r="G126" s="7"/>
      <c r="H126" s="801"/>
      <c r="I126" s="801"/>
    </row>
    <row r="127" spans="1:11" s="8" customFormat="1" ht="47.25" customHeight="1">
      <c r="A127" s="119"/>
      <c r="B127" s="114"/>
      <c r="C127" s="138" t="s">
        <v>687</v>
      </c>
      <c r="D127" s="111" t="s">
        <v>200</v>
      </c>
      <c r="E127" s="107">
        <v>20</v>
      </c>
      <c r="F127" s="122" t="s">
        <v>34</v>
      </c>
      <c r="G127" s="7"/>
      <c r="H127" s="369"/>
      <c r="I127" s="369"/>
      <c r="K127" s="419" t="s">
        <v>620</v>
      </c>
    </row>
    <row r="128" spans="1:11" s="8" customFormat="1" ht="21" customHeight="1">
      <c r="A128" s="84" t="s">
        <v>34</v>
      </c>
      <c r="B128" s="85" t="s">
        <v>188</v>
      </c>
      <c r="C128" s="814" t="s">
        <v>631</v>
      </c>
      <c r="D128" s="814"/>
      <c r="E128" s="814"/>
      <c r="F128" s="815"/>
      <c r="G128" s="7"/>
      <c r="H128" s="369"/>
      <c r="I128" s="369"/>
      <c r="K128" s="419"/>
    </row>
    <row r="129" spans="1:11" s="8" customFormat="1" ht="30.75" customHeight="1">
      <c r="A129" s="119">
        <v>26</v>
      </c>
      <c r="B129" s="113" t="s">
        <v>267</v>
      </c>
      <c r="C129" s="142" t="s">
        <v>632</v>
      </c>
      <c r="D129" s="109" t="s">
        <v>199</v>
      </c>
      <c r="E129" s="110" t="s">
        <v>34</v>
      </c>
      <c r="F129" s="122">
        <f>SUM(E130:E130)</f>
        <v>10.8</v>
      </c>
      <c r="G129" s="7"/>
      <c r="H129" s="369"/>
      <c r="I129" s="369"/>
      <c r="K129" s="419"/>
    </row>
    <row r="130" spans="1:11" s="8" customFormat="1" ht="42" customHeight="1">
      <c r="A130" s="119"/>
      <c r="B130" s="114"/>
      <c r="C130" s="138" t="s">
        <v>688</v>
      </c>
      <c r="D130" s="111" t="s">
        <v>200</v>
      </c>
      <c r="E130" s="107">
        <f>10.8</f>
        <v>10.8</v>
      </c>
      <c r="F130" s="122" t="s">
        <v>34</v>
      </c>
      <c r="G130" s="7"/>
      <c r="H130" s="369"/>
      <c r="I130" s="369"/>
      <c r="K130" s="419"/>
    </row>
    <row r="131" spans="1:9" s="8" customFormat="1" ht="29.25" customHeight="1">
      <c r="A131" s="119">
        <v>27</v>
      </c>
      <c r="B131" s="113" t="s">
        <v>635</v>
      </c>
      <c r="C131" s="142" t="s">
        <v>636</v>
      </c>
      <c r="D131" s="109" t="s">
        <v>199</v>
      </c>
      <c r="E131" s="110" t="s">
        <v>34</v>
      </c>
      <c r="F131" s="122">
        <f>SUM(E132:E132)</f>
        <v>39.84</v>
      </c>
      <c r="H131" s="43"/>
      <c r="I131" s="43"/>
    </row>
    <row r="132" spans="1:13" s="8" customFormat="1" ht="80.25" customHeight="1">
      <c r="A132" s="119"/>
      <c r="B132" s="114"/>
      <c r="C132" s="138" t="s">
        <v>689</v>
      </c>
      <c r="D132" s="111" t="s">
        <v>200</v>
      </c>
      <c r="E132" s="107">
        <f>13.44+26.4</f>
        <v>39.84</v>
      </c>
      <c r="F132" s="122" t="s">
        <v>34</v>
      </c>
      <c r="H132" s="43"/>
      <c r="I132" s="43"/>
      <c r="K132" s="419" t="s">
        <v>620</v>
      </c>
      <c r="M132" s="8">
        <f>20*1.32</f>
        <v>26.4</v>
      </c>
    </row>
    <row r="133" spans="1:14" s="129" customFormat="1" ht="27.75" customHeight="1">
      <c r="A133" s="28" t="s">
        <v>65</v>
      </c>
      <c r="B133" s="25" t="s">
        <v>63</v>
      </c>
      <c r="C133" s="848" t="s">
        <v>205</v>
      </c>
      <c r="D133" s="848"/>
      <c r="E133" s="848"/>
      <c r="F133" s="901"/>
      <c r="H133" s="420"/>
      <c r="I133" s="420"/>
      <c r="N133" s="8"/>
    </row>
    <row r="134" spans="1:14" s="8" customFormat="1" ht="18" customHeight="1" hidden="1">
      <c r="A134" s="84" t="s">
        <v>34</v>
      </c>
      <c r="B134" s="85" t="s">
        <v>128</v>
      </c>
      <c r="C134" s="814" t="s">
        <v>142</v>
      </c>
      <c r="D134" s="814" t="s">
        <v>8</v>
      </c>
      <c r="E134" s="814"/>
      <c r="F134" s="815"/>
      <c r="H134" s="54"/>
      <c r="I134" s="55"/>
      <c r="N134" s="129"/>
    </row>
    <row r="135" spans="1:9" s="8" customFormat="1" ht="20.25" customHeight="1" hidden="1">
      <c r="A135" s="119">
        <v>36</v>
      </c>
      <c r="B135" s="112" t="s">
        <v>272</v>
      </c>
      <c r="C135" s="139" t="s">
        <v>271</v>
      </c>
      <c r="D135" s="109" t="s">
        <v>199</v>
      </c>
      <c r="E135" s="110" t="s">
        <v>34</v>
      </c>
      <c r="F135" s="116">
        <f>SUM(E136:E136)</f>
        <v>42.07</v>
      </c>
      <c r="H135" s="54"/>
      <c r="I135" s="55"/>
    </row>
    <row r="136" spans="1:9" s="8" customFormat="1" ht="81" customHeight="1" hidden="1">
      <c r="A136" s="118"/>
      <c r="B136" s="114"/>
      <c r="C136" s="138" t="s">
        <v>454</v>
      </c>
      <c r="D136" s="111" t="s">
        <v>200</v>
      </c>
      <c r="E136" s="107">
        <v>42.07</v>
      </c>
      <c r="F136" s="152" t="s">
        <v>34</v>
      </c>
      <c r="H136" s="54"/>
      <c r="I136" s="55"/>
    </row>
    <row r="137" spans="1:103" s="20" customFormat="1" ht="18.75" customHeight="1">
      <c r="A137" s="84" t="s">
        <v>34</v>
      </c>
      <c r="B137" s="85" t="s">
        <v>21</v>
      </c>
      <c r="C137" s="814" t="s">
        <v>22</v>
      </c>
      <c r="D137" s="814" t="s">
        <v>8</v>
      </c>
      <c r="E137" s="814"/>
      <c r="F137" s="815"/>
      <c r="G137" s="19"/>
      <c r="H137" s="896"/>
      <c r="I137" s="897"/>
      <c r="J137" s="8"/>
      <c r="K137" s="8"/>
      <c r="L137" s="79"/>
      <c r="M137" s="79"/>
      <c r="N137" s="8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9"/>
      <c r="CQ137" s="79"/>
      <c r="CR137" s="79"/>
      <c r="CS137" s="79"/>
      <c r="CT137" s="79"/>
      <c r="CU137" s="79"/>
      <c r="CV137" s="79"/>
      <c r="CW137" s="79"/>
      <c r="CX137" s="79"/>
      <c r="CY137" s="79"/>
    </row>
    <row r="138" spans="1:103" s="20" customFormat="1" ht="20.25" customHeight="1">
      <c r="A138" s="119">
        <v>28</v>
      </c>
      <c r="B138" s="113" t="s">
        <v>286</v>
      </c>
      <c r="C138" s="139" t="s">
        <v>638</v>
      </c>
      <c r="D138" s="109" t="s">
        <v>199</v>
      </c>
      <c r="E138" s="110" t="s">
        <v>34</v>
      </c>
      <c r="F138" s="116">
        <f>SUM(E139:E139)</f>
        <v>52.5</v>
      </c>
      <c r="G138" s="19"/>
      <c r="H138" s="370"/>
      <c r="I138" s="371"/>
      <c r="J138" s="8"/>
      <c r="K138" s="8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/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</row>
    <row r="139" spans="1:103" s="20" customFormat="1" ht="51" customHeight="1">
      <c r="A139" s="118"/>
      <c r="B139" s="114"/>
      <c r="C139" s="138" t="s">
        <v>690</v>
      </c>
      <c r="D139" s="111" t="s">
        <v>200</v>
      </c>
      <c r="E139" s="107">
        <f>257.5-205</f>
        <v>52.5</v>
      </c>
      <c r="F139" s="152" t="s">
        <v>34</v>
      </c>
      <c r="G139" s="19"/>
      <c r="H139" s="370"/>
      <c r="I139" s="371"/>
      <c r="J139" s="8"/>
      <c r="K139" s="419" t="s">
        <v>640</v>
      </c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79"/>
      <c r="CQ139" s="79"/>
      <c r="CR139" s="79"/>
      <c r="CS139" s="79"/>
      <c r="CT139" s="79"/>
      <c r="CU139" s="79"/>
      <c r="CV139" s="79"/>
      <c r="CW139" s="79"/>
      <c r="CX139" s="79"/>
      <c r="CY139" s="79"/>
    </row>
    <row r="140" spans="1:103" s="276" customFormat="1" ht="18" customHeight="1" hidden="1">
      <c r="A140" s="119">
        <v>37</v>
      </c>
      <c r="B140" s="113" t="s">
        <v>286</v>
      </c>
      <c r="C140" s="139" t="s">
        <v>274</v>
      </c>
      <c r="D140" s="109" t="s">
        <v>199</v>
      </c>
      <c r="E140" s="110" t="s">
        <v>34</v>
      </c>
      <c r="F140" s="116">
        <f>SUM(E141:E141)</f>
        <v>0</v>
      </c>
      <c r="G140" s="50"/>
      <c r="H140" s="801"/>
      <c r="I140" s="801"/>
      <c r="J140" s="8"/>
      <c r="K140" s="79"/>
      <c r="L140" s="80"/>
      <c r="M140" s="80"/>
      <c r="N140" s="79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  <c r="CY140" s="80"/>
    </row>
    <row r="141" spans="1:103" s="276" customFormat="1" ht="67.5" customHeight="1" hidden="1">
      <c r="A141" s="118"/>
      <c r="B141" s="114"/>
      <c r="C141" s="138" t="s">
        <v>492</v>
      </c>
      <c r="D141" s="111" t="s">
        <v>200</v>
      </c>
      <c r="E141" s="107">
        <v>0</v>
      </c>
      <c r="F141" s="152" t="s">
        <v>34</v>
      </c>
      <c r="G141" s="50"/>
      <c r="H141" s="43">
        <v>24.73</v>
      </c>
      <c r="I141" s="43">
        <f>H141*F140</f>
        <v>0</v>
      </c>
      <c r="J141" s="8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</row>
    <row r="142" spans="1:103" s="276" customFormat="1" ht="19.5" customHeight="1">
      <c r="A142" s="119">
        <v>29</v>
      </c>
      <c r="B142" s="112" t="s">
        <v>287</v>
      </c>
      <c r="C142" s="139" t="s">
        <v>275</v>
      </c>
      <c r="D142" s="109" t="s">
        <v>199</v>
      </c>
      <c r="E142" s="110" t="s">
        <v>34</v>
      </c>
      <c r="F142" s="116">
        <f>SUM(E143:E143)</f>
        <v>52.5</v>
      </c>
      <c r="G142" s="50"/>
      <c r="H142" s="43"/>
      <c r="I142" s="43"/>
      <c r="J142" s="8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</row>
    <row r="143" spans="1:103" s="276" customFormat="1" ht="44.25" customHeight="1">
      <c r="A143" s="118"/>
      <c r="B143" s="114"/>
      <c r="C143" s="138" t="s">
        <v>691</v>
      </c>
      <c r="D143" s="111" t="s">
        <v>200</v>
      </c>
      <c r="E143" s="107">
        <v>52.5</v>
      </c>
      <c r="F143" s="152" t="s">
        <v>34</v>
      </c>
      <c r="G143" s="50"/>
      <c r="H143" s="43"/>
      <c r="I143" s="43"/>
      <c r="J143" s="8"/>
      <c r="K143" s="419" t="s">
        <v>640</v>
      </c>
      <c r="L143" s="79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</row>
    <row r="144" spans="1:103" s="20" customFormat="1" ht="22.5" customHeight="1">
      <c r="A144" s="119">
        <v>30</v>
      </c>
      <c r="B144" s="112" t="s">
        <v>287</v>
      </c>
      <c r="C144" s="139" t="s">
        <v>276</v>
      </c>
      <c r="D144" s="109" t="s">
        <v>199</v>
      </c>
      <c r="E144" s="110" t="s">
        <v>34</v>
      </c>
      <c r="F144" s="116">
        <f>SUM(E145:E145)</f>
        <v>12</v>
      </c>
      <c r="G144" s="19"/>
      <c r="H144" s="46"/>
      <c r="I144" s="46"/>
      <c r="J144" s="8"/>
      <c r="K144" s="80"/>
      <c r="L144" s="79"/>
      <c r="M144" s="79"/>
      <c r="N144" s="80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9"/>
      <c r="BW144" s="79"/>
      <c r="BX144" s="79"/>
      <c r="BY144" s="79"/>
      <c r="BZ144" s="79"/>
      <c r="CA144" s="79"/>
      <c r="CB144" s="79"/>
      <c r="CC144" s="79"/>
      <c r="CD144" s="79"/>
      <c r="CE144" s="79"/>
      <c r="CF144" s="79"/>
      <c r="CG144" s="79"/>
      <c r="CH144" s="79"/>
      <c r="CI144" s="79"/>
      <c r="CJ144" s="79"/>
      <c r="CK144" s="79"/>
      <c r="CL144" s="79"/>
      <c r="CM144" s="79"/>
      <c r="CN144" s="79"/>
      <c r="CO144" s="79"/>
      <c r="CP144" s="79"/>
      <c r="CQ144" s="79"/>
      <c r="CR144" s="79"/>
      <c r="CS144" s="79"/>
      <c r="CT144" s="79"/>
      <c r="CU144" s="79"/>
      <c r="CV144" s="79"/>
      <c r="CW144" s="79"/>
      <c r="CX144" s="79"/>
      <c r="CY144" s="79"/>
    </row>
    <row r="145" spans="1:103" s="20" customFormat="1" ht="45" customHeight="1">
      <c r="A145" s="118"/>
      <c r="B145" s="114"/>
      <c r="C145" s="138" t="s">
        <v>692</v>
      </c>
      <c r="D145" s="111" t="s">
        <v>200</v>
      </c>
      <c r="E145" s="107">
        <v>12</v>
      </c>
      <c r="F145" s="152" t="s">
        <v>34</v>
      </c>
      <c r="G145" s="19"/>
      <c r="H145" s="46"/>
      <c r="I145" s="46"/>
      <c r="J145" s="8"/>
      <c r="K145" s="419" t="s">
        <v>620</v>
      </c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9"/>
      <c r="BW145" s="79"/>
      <c r="BX145" s="79"/>
      <c r="BY145" s="79"/>
      <c r="BZ145" s="79"/>
      <c r="CA145" s="79"/>
      <c r="CB145" s="79"/>
      <c r="CC145" s="79"/>
      <c r="CD145" s="79"/>
      <c r="CE145" s="79"/>
      <c r="CF145" s="79"/>
      <c r="CG145" s="79"/>
      <c r="CH145" s="79"/>
      <c r="CI145" s="79"/>
      <c r="CJ145" s="79"/>
      <c r="CK145" s="79"/>
      <c r="CL145" s="79"/>
      <c r="CM145" s="79"/>
      <c r="CN145" s="79"/>
      <c r="CO145" s="79"/>
      <c r="CP145" s="79"/>
      <c r="CQ145" s="79"/>
      <c r="CR145" s="79"/>
      <c r="CS145" s="79"/>
      <c r="CT145" s="79"/>
      <c r="CU145" s="79"/>
      <c r="CV145" s="79"/>
      <c r="CW145" s="79"/>
      <c r="CX145" s="79"/>
      <c r="CY145" s="79"/>
    </row>
    <row r="146" spans="1:103" s="20" customFormat="1" ht="17.25" customHeight="1">
      <c r="A146" s="84" t="s">
        <v>34</v>
      </c>
      <c r="B146" s="85" t="s">
        <v>455</v>
      </c>
      <c r="C146" s="814" t="s">
        <v>456</v>
      </c>
      <c r="D146" s="814" t="s">
        <v>8</v>
      </c>
      <c r="E146" s="814"/>
      <c r="F146" s="815"/>
      <c r="G146" s="19"/>
      <c r="H146" s="46"/>
      <c r="I146" s="46"/>
      <c r="J146" s="8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  <c r="BI146" s="79"/>
      <c r="BJ146" s="79"/>
      <c r="BK146" s="79"/>
      <c r="BL146" s="79"/>
      <c r="BM146" s="79"/>
      <c r="BN146" s="79"/>
      <c r="BO146" s="79"/>
      <c r="BP146" s="79"/>
      <c r="BQ146" s="79"/>
      <c r="BR146" s="79"/>
      <c r="BS146" s="79"/>
      <c r="BT146" s="79"/>
      <c r="BU146" s="79"/>
      <c r="BV146" s="79"/>
      <c r="BW146" s="79"/>
      <c r="BX146" s="79"/>
      <c r="BY146" s="79"/>
      <c r="BZ146" s="79"/>
      <c r="CA146" s="79"/>
      <c r="CB146" s="79"/>
      <c r="CC146" s="79"/>
      <c r="CD146" s="79"/>
      <c r="CE146" s="79"/>
      <c r="CF146" s="79"/>
      <c r="CG146" s="79"/>
      <c r="CH146" s="79"/>
      <c r="CI146" s="79"/>
      <c r="CJ146" s="79"/>
      <c r="CK146" s="79"/>
      <c r="CL146" s="79"/>
      <c r="CM146" s="79"/>
      <c r="CN146" s="79"/>
      <c r="CO146" s="79"/>
      <c r="CP146" s="79"/>
      <c r="CQ146" s="79"/>
      <c r="CR146" s="79"/>
      <c r="CS146" s="79"/>
      <c r="CT146" s="79"/>
      <c r="CU146" s="79"/>
      <c r="CV146" s="79"/>
      <c r="CW146" s="79"/>
      <c r="CX146" s="79"/>
      <c r="CY146" s="79"/>
    </row>
    <row r="147" spans="1:103" s="20" customFormat="1" ht="22.5" customHeight="1">
      <c r="A147" s="119">
        <v>31</v>
      </c>
      <c r="B147" s="112" t="s">
        <v>457</v>
      </c>
      <c r="C147" s="139" t="s">
        <v>458</v>
      </c>
      <c r="D147" s="109" t="s">
        <v>199</v>
      </c>
      <c r="E147" s="110" t="s">
        <v>34</v>
      </c>
      <c r="F147" s="122">
        <f>E148</f>
        <v>26.25</v>
      </c>
      <c r="G147" s="19"/>
      <c r="H147" s="46"/>
      <c r="I147" s="46"/>
      <c r="J147" s="8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79"/>
      <c r="BD147" s="79"/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79"/>
      <c r="BT147" s="79"/>
      <c r="BU147" s="79"/>
      <c r="BV147" s="79"/>
      <c r="BW147" s="79"/>
      <c r="BX147" s="79"/>
      <c r="BY147" s="79"/>
      <c r="BZ147" s="79"/>
      <c r="CA147" s="79"/>
      <c r="CB147" s="79"/>
      <c r="CC147" s="79"/>
      <c r="CD147" s="79"/>
      <c r="CE147" s="79"/>
      <c r="CF147" s="79"/>
      <c r="CG147" s="79"/>
      <c r="CH147" s="79"/>
      <c r="CI147" s="79"/>
      <c r="CJ147" s="79"/>
      <c r="CK147" s="79"/>
      <c r="CL147" s="79"/>
      <c r="CM147" s="79"/>
      <c r="CN147" s="79"/>
      <c r="CO147" s="79"/>
      <c r="CP147" s="79"/>
      <c r="CQ147" s="79"/>
      <c r="CR147" s="79"/>
      <c r="CS147" s="79"/>
      <c r="CT147" s="79"/>
      <c r="CU147" s="79"/>
      <c r="CV147" s="79"/>
      <c r="CW147" s="79"/>
      <c r="CX147" s="79"/>
      <c r="CY147" s="79"/>
    </row>
    <row r="148" spans="1:103" s="20" customFormat="1" ht="46.5" customHeight="1">
      <c r="A148" s="118"/>
      <c r="B148" s="114"/>
      <c r="C148" s="138" t="s">
        <v>693</v>
      </c>
      <c r="D148" s="111" t="s">
        <v>200</v>
      </c>
      <c r="E148" s="107">
        <f>(257.5-205)*0.5</f>
        <v>26.25</v>
      </c>
      <c r="F148" s="152" t="s">
        <v>34</v>
      </c>
      <c r="G148" s="19"/>
      <c r="H148" s="46"/>
      <c r="I148" s="46"/>
      <c r="J148" s="8"/>
      <c r="K148" s="419" t="s">
        <v>620</v>
      </c>
      <c r="L148" s="79"/>
      <c r="M148" s="79">
        <f>(452-257)*0.5</f>
        <v>97.5</v>
      </c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79"/>
      <c r="BC148" s="79"/>
      <c r="BD148" s="79"/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/>
      <c r="BQ148" s="79"/>
      <c r="BR148" s="79"/>
      <c r="BS148" s="79"/>
      <c r="BT148" s="79"/>
      <c r="BU148" s="79"/>
      <c r="BV148" s="79"/>
      <c r="BW148" s="79"/>
      <c r="BX148" s="79"/>
      <c r="BY148" s="79"/>
      <c r="BZ148" s="79"/>
      <c r="CA148" s="79"/>
      <c r="CB148" s="79"/>
      <c r="CC148" s="79"/>
      <c r="CD148" s="79"/>
      <c r="CE148" s="79"/>
      <c r="CF148" s="79"/>
      <c r="CG148" s="79"/>
      <c r="CH148" s="79"/>
      <c r="CI148" s="79"/>
      <c r="CJ148" s="79"/>
      <c r="CK148" s="79"/>
      <c r="CL148" s="79"/>
      <c r="CM148" s="79"/>
      <c r="CN148" s="79"/>
      <c r="CO148" s="79"/>
      <c r="CP148" s="79"/>
      <c r="CQ148" s="79"/>
      <c r="CR148" s="79"/>
      <c r="CS148" s="79"/>
      <c r="CT148" s="79"/>
      <c r="CU148" s="79"/>
      <c r="CV148" s="79"/>
      <c r="CW148" s="79"/>
      <c r="CX148" s="79"/>
      <c r="CY148" s="79"/>
    </row>
    <row r="149" spans="1:103" s="20" customFormat="1" ht="45.75" customHeight="1">
      <c r="A149" s="118" t="s">
        <v>697</v>
      </c>
      <c r="B149" s="114" t="str">
        <f>B147</f>
        <v>05.03.11.35</v>
      </c>
      <c r="C149" s="138" t="s">
        <v>694</v>
      </c>
      <c r="D149" s="111" t="s">
        <v>11</v>
      </c>
      <c r="E149" s="107">
        <f>(257.5-205)</f>
        <v>52.5</v>
      </c>
      <c r="F149" s="152">
        <f>E149</f>
        <v>52.5</v>
      </c>
      <c r="G149" s="19"/>
      <c r="H149" s="46"/>
      <c r="I149" s="46"/>
      <c r="J149" s="8"/>
      <c r="K149" s="419" t="s">
        <v>620</v>
      </c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AZ149" s="79"/>
      <c r="BA149" s="79"/>
      <c r="BB149" s="79"/>
      <c r="BC149" s="79"/>
      <c r="BD149" s="79"/>
      <c r="BE149" s="79"/>
      <c r="BF149" s="79"/>
      <c r="BG149" s="79"/>
      <c r="BH149" s="79"/>
      <c r="BI149" s="79"/>
      <c r="BJ149" s="79"/>
      <c r="BK149" s="79"/>
      <c r="BL149" s="79"/>
      <c r="BM149" s="79"/>
      <c r="BN149" s="79"/>
      <c r="BO149" s="79"/>
      <c r="BP149" s="79"/>
      <c r="BQ149" s="79"/>
      <c r="BR149" s="79"/>
      <c r="BS149" s="79"/>
      <c r="BT149" s="79"/>
      <c r="BU149" s="79"/>
      <c r="BV149" s="79"/>
      <c r="BW149" s="79"/>
      <c r="BX149" s="79"/>
      <c r="BY149" s="79"/>
      <c r="BZ149" s="79"/>
      <c r="CA149" s="79"/>
      <c r="CB149" s="79"/>
      <c r="CC149" s="79"/>
      <c r="CD149" s="79"/>
      <c r="CE149" s="79"/>
      <c r="CF149" s="79"/>
      <c r="CG149" s="79"/>
      <c r="CH149" s="79"/>
      <c r="CI149" s="79"/>
      <c r="CJ149" s="79"/>
      <c r="CK149" s="79"/>
      <c r="CL149" s="79"/>
      <c r="CM149" s="79"/>
      <c r="CN149" s="79"/>
      <c r="CO149" s="79"/>
      <c r="CP149" s="79"/>
      <c r="CQ149" s="79"/>
      <c r="CR149" s="79"/>
      <c r="CS149" s="79"/>
      <c r="CT149" s="79"/>
      <c r="CU149" s="79"/>
      <c r="CV149" s="79"/>
      <c r="CW149" s="79"/>
      <c r="CX149" s="79"/>
      <c r="CY149" s="79"/>
    </row>
    <row r="150" spans="1:103" s="20" customFormat="1" ht="39.75" customHeight="1">
      <c r="A150" s="118" t="s">
        <v>702</v>
      </c>
      <c r="B150" s="114" t="str">
        <f>B149</f>
        <v>05.03.11.35</v>
      </c>
      <c r="C150" s="138" t="s">
        <v>695</v>
      </c>
      <c r="D150" s="111" t="s">
        <v>201</v>
      </c>
      <c r="E150" s="107">
        <f>E148*0.07</f>
        <v>1.84</v>
      </c>
      <c r="F150" s="152">
        <f>E150</f>
        <v>1.84</v>
      </c>
      <c r="G150" s="19"/>
      <c r="H150" s="46"/>
      <c r="I150" s="46"/>
      <c r="J150" s="8"/>
      <c r="K150" s="419" t="s">
        <v>620</v>
      </c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AZ150" s="79"/>
      <c r="BA150" s="79"/>
      <c r="BB150" s="79"/>
      <c r="BC150" s="79"/>
      <c r="BD150" s="79"/>
      <c r="BE150" s="79"/>
      <c r="BF150" s="79"/>
      <c r="BG150" s="79"/>
      <c r="BH150" s="79"/>
      <c r="BI150" s="79"/>
      <c r="BJ150" s="79"/>
      <c r="BK150" s="79"/>
      <c r="BL150" s="79"/>
      <c r="BM150" s="79"/>
      <c r="BN150" s="79"/>
      <c r="BO150" s="79"/>
      <c r="BP150" s="79"/>
      <c r="BQ150" s="79"/>
      <c r="BR150" s="79"/>
      <c r="BS150" s="79"/>
      <c r="BT150" s="79"/>
      <c r="BU150" s="79"/>
      <c r="BV150" s="79"/>
      <c r="BW150" s="79"/>
      <c r="BX150" s="79"/>
      <c r="BY150" s="79"/>
      <c r="BZ150" s="79"/>
      <c r="CA150" s="79"/>
      <c r="CB150" s="79"/>
      <c r="CC150" s="79"/>
      <c r="CD150" s="79"/>
      <c r="CE150" s="79"/>
      <c r="CF150" s="79"/>
      <c r="CG150" s="79"/>
      <c r="CH150" s="79"/>
      <c r="CI150" s="79"/>
      <c r="CJ150" s="79"/>
      <c r="CK150" s="79"/>
      <c r="CL150" s="79"/>
      <c r="CM150" s="79"/>
      <c r="CN150" s="79"/>
      <c r="CO150" s="79"/>
      <c r="CP150" s="79"/>
      <c r="CQ150" s="79"/>
      <c r="CR150" s="79"/>
      <c r="CS150" s="79"/>
      <c r="CT150" s="79"/>
      <c r="CU150" s="79"/>
      <c r="CV150" s="79"/>
      <c r="CW150" s="79"/>
      <c r="CX150" s="79"/>
      <c r="CY150" s="79"/>
    </row>
    <row r="151" spans="1:103" s="424" customFormat="1" ht="19.5" customHeight="1">
      <c r="A151" s="84" t="s">
        <v>34</v>
      </c>
      <c r="B151" s="85" t="s">
        <v>459</v>
      </c>
      <c r="C151" s="814" t="s">
        <v>460</v>
      </c>
      <c r="D151" s="814" t="s">
        <v>8</v>
      </c>
      <c r="E151" s="814"/>
      <c r="F151" s="815"/>
      <c r="G151" s="421"/>
      <c r="H151" s="422"/>
      <c r="I151" s="422"/>
      <c r="J151" s="129"/>
      <c r="K151" s="423"/>
      <c r="L151" s="423"/>
      <c r="M151" s="423"/>
      <c r="N151" s="79"/>
      <c r="O151" s="423"/>
      <c r="P151" s="423"/>
      <c r="Q151" s="423"/>
      <c r="R151" s="423"/>
      <c r="S151" s="423"/>
      <c r="T151" s="423"/>
      <c r="U151" s="423"/>
      <c r="V151" s="423"/>
      <c r="W151" s="423"/>
      <c r="X151" s="423"/>
      <c r="Y151" s="423"/>
      <c r="Z151" s="423"/>
      <c r="AA151" s="423"/>
      <c r="AB151" s="423"/>
      <c r="AC151" s="423"/>
      <c r="AD151" s="423"/>
      <c r="AE151" s="423"/>
      <c r="AF151" s="423"/>
      <c r="AG151" s="423"/>
      <c r="AH151" s="423"/>
      <c r="AI151" s="423"/>
      <c r="AJ151" s="423"/>
      <c r="AK151" s="423"/>
      <c r="AL151" s="423"/>
      <c r="AM151" s="423"/>
      <c r="AN151" s="423"/>
      <c r="AO151" s="423"/>
      <c r="AP151" s="423"/>
      <c r="AQ151" s="423"/>
      <c r="AR151" s="423"/>
      <c r="AS151" s="423"/>
      <c r="AT151" s="423"/>
      <c r="AU151" s="423"/>
      <c r="AV151" s="423"/>
      <c r="AW151" s="423"/>
      <c r="AX151" s="423"/>
      <c r="AY151" s="423"/>
      <c r="AZ151" s="423"/>
      <c r="BA151" s="423"/>
      <c r="BB151" s="423"/>
      <c r="BC151" s="423"/>
      <c r="BD151" s="423"/>
      <c r="BE151" s="423"/>
      <c r="BF151" s="423"/>
      <c r="BG151" s="423"/>
      <c r="BH151" s="423"/>
      <c r="BI151" s="423"/>
      <c r="BJ151" s="423"/>
      <c r="BK151" s="423"/>
      <c r="BL151" s="423"/>
      <c r="BM151" s="423"/>
      <c r="BN151" s="423"/>
      <c r="BO151" s="423"/>
      <c r="BP151" s="423"/>
      <c r="BQ151" s="423"/>
      <c r="BR151" s="423"/>
      <c r="BS151" s="423"/>
      <c r="BT151" s="423"/>
      <c r="BU151" s="423"/>
      <c r="BV151" s="423"/>
      <c r="BW151" s="423"/>
      <c r="BX151" s="423"/>
      <c r="BY151" s="423"/>
      <c r="BZ151" s="423"/>
      <c r="CA151" s="423"/>
      <c r="CB151" s="423"/>
      <c r="CC151" s="423"/>
      <c r="CD151" s="423"/>
      <c r="CE151" s="423"/>
      <c r="CF151" s="423"/>
      <c r="CG151" s="423"/>
      <c r="CH151" s="423"/>
      <c r="CI151" s="423"/>
      <c r="CJ151" s="423"/>
      <c r="CK151" s="423"/>
      <c r="CL151" s="423"/>
      <c r="CM151" s="423"/>
      <c r="CN151" s="423"/>
      <c r="CO151" s="423"/>
      <c r="CP151" s="423"/>
      <c r="CQ151" s="423"/>
      <c r="CR151" s="423"/>
      <c r="CS151" s="423"/>
      <c r="CT151" s="423"/>
      <c r="CU151" s="423"/>
      <c r="CV151" s="423"/>
      <c r="CW151" s="423"/>
      <c r="CX151" s="423"/>
      <c r="CY151" s="423"/>
    </row>
    <row r="152" spans="1:103" s="424" customFormat="1" ht="27" customHeight="1">
      <c r="A152" s="119">
        <v>32</v>
      </c>
      <c r="B152" s="112" t="s">
        <v>461</v>
      </c>
      <c r="C152" s="139" t="s">
        <v>462</v>
      </c>
      <c r="D152" s="109" t="s">
        <v>199</v>
      </c>
      <c r="E152" s="110" t="s">
        <v>34</v>
      </c>
      <c r="F152" s="122">
        <f>E153</f>
        <v>52.5</v>
      </c>
      <c r="G152" s="421"/>
      <c r="H152" s="422"/>
      <c r="I152" s="422"/>
      <c r="J152" s="129"/>
      <c r="K152" s="423"/>
      <c r="L152" s="423"/>
      <c r="M152" s="423"/>
      <c r="N152" s="423"/>
      <c r="O152" s="423"/>
      <c r="P152" s="423"/>
      <c r="Q152" s="423"/>
      <c r="R152" s="423"/>
      <c r="S152" s="423"/>
      <c r="T152" s="423"/>
      <c r="U152" s="423"/>
      <c r="V152" s="423"/>
      <c r="W152" s="423"/>
      <c r="X152" s="423"/>
      <c r="Y152" s="423"/>
      <c r="Z152" s="423"/>
      <c r="AA152" s="423"/>
      <c r="AB152" s="423"/>
      <c r="AC152" s="423"/>
      <c r="AD152" s="423"/>
      <c r="AE152" s="423"/>
      <c r="AF152" s="423"/>
      <c r="AG152" s="423"/>
      <c r="AH152" s="423"/>
      <c r="AI152" s="423"/>
      <c r="AJ152" s="423"/>
      <c r="AK152" s="423"/>
      <c r="AL152" s="423"/>
      <c r="AM152" s="423"/>
      <c r="AN152" s="423"/>
      <c r="AO152" s="423"/>
      <c r="AP152" s="423"/>
      <c r="AQ152" s="423"/>
      <c r="AR152" s="423"/>
      <c r="AS152" s="423"/>
      <c r="AT152" s="423"/>
      <c r="AU152" s="423"/>
      <c r="AV152" s="423"/>
      <c r="AW152" s="423"/>
      <c r="AX152" s="423"/>
      <c r="AY152" s="423"/>
      <c r="AZ152" s="423"/>
      <c r="BA152" s="423"/>
      <c r="BB152" s="423"/>
      <c r="BC152" s="423"/>
      <c r="BD152" s="423"/>
      <c r="BE152" s="423"/>
      <c r="BF152" s="423"/>
      <c r="BG152" s="423"/>
      <c r="BH152" s="423"/>
      <c r="BI152" s="423"/>
      <c r="BJ152" s="423"/>
      <c r="BK152" s="423"/>
      <c r="BL152" s="423"/>
      <c r="BM152" s="423"/>
      <c r="BN152" s="423"/>
      <c r="BO152" s="423"/>
      <c r="BP152" s="423"/>
      <c r="BQ152" s="423"/>
      <c r="BR152" s="423"/>
      <c r="BS152" s="423"/>
      <c r="BT152" s="423"/>
      <c r="BU152" s="423"/>
      <c r="BV152" s="423"/>
      <c r="BW152" s="423"/>
      <c r="BX152" s="423"/>
      <c r="BY152" s="423"/>
      <c r="BZ152" s="423"/>
      <c r="CA152" s="423"/>
      <c r="CB152" s="423"/>
      <c r="CC152" s="423"/>
      <c r="CD152" s="423"/>
      <c r="CE152" s="423"/>
      <c r="CF152" s="423"/>
      <c r="CG152" s="423"/>
      <c r="CH152" s="423"/>
      <c r="CI152" s="423"/>
      <c r="CJ152" s="423"/>
      <c r="CK152" s="423"/>
      <c r="CL152" s="423"/>
      <c r="CM152" s="423"/>
      <c r="CN152" s="423"/>
      <c r="CO152" s="423"/>
      <c r="CP152" s="423"/>
      <c r="CQ152" s="423"/>
      <c r="CR152" s="423"/>
      <c r="CS152" s="423"/>
      <c r="CT152" s="423"/>
      <c r="CU152" s="423"/>
      <c r="CV152" s="423"/>
      <c r="CW152" s="423"/>
      <c r="CX152" s="423"/>
      <c r="CY152" s="423"/>
    </row>
    <row r="153" spans="1:103" s="424" customFormat="1" ht="42.75" customHeight="1">
      <c r="A153" s="118"/>
      <c r="B153" s="114"/>
      <c r="C153" s="138" t="s">
        <v>696</v>
      </c>
      <c r="D153" s="111" t="s">
        <v>200</v>
      </c>
      <c r="E153" s="107">
        <f>257.5-205</f>
        <v>52.5</v>
      </c>
      <c r="F153" s="152" t="s">
        <v>34</v>
      </c>
      <c r="G153" s="421"/>
      <c r="H153" s="422"/>
      <c r="I153" s="422"/>
      <c r="J153" s="129"/>
      <c r="K153" s="419" t="s">
        <v>620</v>
      </c>
      <c r="L153" s="423"/>
      <c r="M153" s="423"/>
      <c r="N153" s="423"/>
      <c r="O153" s="423"/>
      <c r="P153" s="423"/>
      <c r="Q153" s="423"/>
      <c r="R153" s="423"/>
      <c r="S153" s="423"/>
      <c r="T153" s="423"/>
      <c r="U153" s="423"/>
      <c r="V153" s="423"/>
      <c r="W153" s="423"/>
      <c r="X153" s="423"/>
      <c r="Y153" s="423"/>
      <c r="Z153" s="423"/>
      <c r="AA153" s="423"/>
      <c r="AB153" s="423"/>
      <c r="AC153" s="423"/>
      <c r="AD153" s="423"/>
      <c r="AE153" s="423"/>
      <c r="AF153" s="423"/>
      <c r="AG153" s="423"/>
      <c r="AH153" s="423"/>
      <c r="AI153" s="423"/>
      <c r="AJ153" s="423"/>
      <c r="AK153" s="423"/>
      <c r="AL153" s="423"/>
      <c r="AM153" s="423"/>
      <c r="AN153" s="423"/>
      <c r="AO153" s="423"/>
      <c r="AP153" s="423"/>
      <c r="AQ153" s="423"/>
      <c r="AR153" s="423"/>
      <c r="AS153" s="423"/>
      <c r="AT153" s="423"/>
      <c r="AU153" s="423"/>
      <c r="AV153" s="423"/>
      <c r="AW153" s="423"/>
      <c r="AX153" s="423"/>
      <c r="AY153" s="423"/>
      <c r="AZ153" s="423"/>
      <c r="BA153" s="423"/>
      <c r="BB153" s="423"/>
      <c r="BC153" s="423"/>
      <c r="BD153" s="423"/>
      <c r="BE153" s="423"/>
      <c r="BF153" s="423"/>
      <c r="BG153" s="423"/>
      <c r="BH153" s="423"/>
      <c r="BI153" s="423"/>
      <c r="BJ153" s="423"/>
      <c r="BK153" s="423"/>
      <c r="BL153" s="423"/>
      <c r="BM153" s="423"/>
      <c r="BN153" s="423"/>
      <c r="BO153" s="423"/>
      <c r="BP153" s="423"/>
      <c r="BQ153" s="423"/>
      <c r="BR153" s="423"/>
      <c r="BS153" s="423"/>
      <c r="BT153" s="423"/>
      <c r="BU153" s="423"/>
      <c r="BV153" s="423"/>
      <c r="BW153" s="423"/>
      <c r="BX153" s="423"/>
      <c r="BY153" s="423"/>
      <c r="BZ153" s="423"/>
      <c r="CA153" s="423"/>
      <c r="CB153" s="423"/>
      <c r="CC153" s="423"/>
      <c r="CD153" s="423"/>
      <c r="CE153" s="423"/>
      <c r="CF153" s="423"/>
      <c r="CG153" s="423"/>
      <c r="CH153" s="423"/>
      <c r="CI153" s="423"/>
      <c r="CJ153" s="423"/>
      <c r="CK153" s="423"/>
      <c r="CL153" s="423"/>
      <c r="CM153" s="423"/>
      <c r="CN153" s="423"/>
      <c r="CO153" s="423"/>
      <c r="CP153" s="423"/>
      <c r="CQ153" s="423"/>
      <c r="CR153" s="423"/>
      <c r="CS153" s="423"/>
      <c r="CT153" s="423"/>
      <c r="CU153" s="423"/>
      <c r="CV153" s="423"/>
      <c r="CW153" s="423"/>
      <c r="CX153" s="423"/>
      <c r="CY153" s="423"/>
    </row>
    <row r="154" spans="1:103" s="51" customFormat="1" ht="26.25">
      <c r="A154" s="28" t="s">
        <v>67</v>
      </c>
      <c r="B154" s="25" t="s">
        <v>64</v>
      </c>
      <c r="C154" s="848" t="s">
        <v>206</v>
      </c>
      <c r="D154" s="848" t="s">
        <v>8</v>
      </c>
      <c r="E154" s="848"/>
      <c r="F154" s="901"/>
      <c r="G154" s="50"/>
      <c r="H154" s="46"/>
      <c r="I154" s="46"/>
      <c r="J154" s="19"/>
      <c r="K154" s="79"/>
      <c r="L154" s="80"/>
      <c r="M154" s="80"/>
      <c r="N154" s="423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  <c r="CA154" s="80"/>
      <c r="CB154" s="80"/>
      <c r="CC154" s="80"/>
      <c r="CD154" s="80"/>
      <c r="CE154" s="80"/>
      <c r="CF154" s="80"/>
      <c r="CG154" s="80"/>
      <c r="CH154" s="80"/>
      <c r="CI154" s="80"/>
      <c r="CJ154" s="80"/>
      <c r="CK154" s="80"/>
      <c r="CL154" s="80"/>
      <c r="CM154" s="80"/>
      <c r="CN154" s="80"/>
      <c r="CO154" s="80"/>
      <c r="CP154" s="80"/>
      <c r="CQ154" s="80"/>
      <c r="CR154" s="80"/>
      <c r="CS154" s="80"/>
      <c r="CT154" s="80"/>
      <c r="CU154" s="80"/>
      <c r="CV154" s="80"/>
      <c r="CW154" s="80"/>
      <c r="CX154" s="80"/>
      <c r="CY154" s="80"/>
    </row>
    <row r="155" spans="1:14" s="129" customFormat="1" ht="19.5" customHeight="1">
      <c r="A155" s="84" t="s">
        <v>34</v>
      </c>
      <c r="B155" s="85" t="s">
        <v>23</v>
      </c>
      <c r="C155" s="814" t="s">
        <v>190</v>
      </c>
      <c r="D155" s="814" t="s">
        <v>8</v>
      </c>
      <c r="E155" s="814"/>
      <c r="F155" s="815"/>
      <c r="G155" s="425"/>
      <c r="H155" s="903"/>
      <c r="I155" s="904"/>
      <c r="J155" s="426"/>
      <c r="K155" s="427"/>
      <c r="N155" s="80"/>
    </row>
    <row r="156" spans="1:14" s="429" customFormat="1" ht="15.75" customHeight="1">
      <c r="A156" s="119">
        <v>33</v>
      </c>
      <c r="B156" s="113" t="s">
        <v>0</v>
      </c>
      <c r="C156" s="139" t="s">
        <v>79</v>
      </c>
      <c r="D156" s="109" t="s">
        <v>199</v>
      </c>
      <c r="E156" s="110" t="s">
        <v>34</v>
      </c>
      <c r="F156" s="122">
        <f>E157</f>
        <v>0</v>
      </c>
      <c r="G156" s="428"/>
      <c r="H156" s="909"/>
      <c r="I156" s="909"/>
      <c r="J156" s="426"/>
      <c r="K156" s="129"/>
      <c r="N156" s="129"/>
    </row>
    <row r="157" spans="1:14" s="129" customFormat="1" ht="57" customHeight="1">
      <c r="A157" s="119"/>
      <c r="B157" s="113"/>
      <c r="C157" s="138" t="s">
        <v>642</v>
      </c>
      <c r="D157" s="111" t="s">
        <v>200</v>
      </c>
      <c r="E157" s="107">
        <v>0</v>
      </c>
      <c r="F157" s="152" t="s">
        <v>34</v>
      </c>
      <c r="G157" s="425"/>
      <c r="H157" s="274">
        <v>14.94</v>
      </c>
      <c r="I157" s="274">
        <f>H157*F156</f>
        <v>0</v>
      </c>
      <c r="J157" s="421"/>
      <c r="K157" s="429"/>
      <c r="N157" s="429"/>
    </row>
    <row r="158" spans="1:10" s="129" customFormat="1" ht="39">
      <c r="A158" s="118" t="s">
        <v>703</v>
      </c>
      <c r="B158" s="114" t="s">
        <v>0</v>
      </c>
      <c r="C158" s="138" t="s">
        <v>707</v>
      </c>
      <c r="D158" s="111" t="s">
        <v>200</v>
      </c>
      <c r="E158" s="107">
        <v>0</v>
      </c>
      <c r="F158" s="152">
        <f>E158</f>
        <v>0</v>
      </c>
      <c r="G158" s="425"/>
      <c r="H158" s="274"/>
      <c r="I158" s="274"/>
      <c r="J158" s="426"/>
    </row>
    <row r="159" spans="1:14" s="8" customFormat="1" ht="18.75" customHeight="1" hidden="1">
      <c r="A159" s="119">
        <v>44</v>
      </c>
      <c r="B159" s="112" t="s">
        <v>130</v>
      </c>
      <c r="C159" s="139" t="s">
        <v>191</v>
      </c>
      <c r="D159" s="109" t="s">
        <v>199</v>
      </c>
      <c r="E159" s="110" t="s">
        <v>34</v>
      </c>
      <c r="F159" s="122">
        <f>E160</f>
        <v>0</v>
      </c>
      <c r="G159" s="9"/>
      <c r="H159" s="76"/>
      <c r="I159" s="77"/>
      <c r="J159" s="50"/>
      <c r="N159" s="129"/>
    </row>
    <row r="160" spans="1:9" s="8" customFormat="1" ht="80.25" customHeight="1" hidden="1">
      <c r="A160" s="118"/>
      <c r="B160" s="114"/>
      <c r="C160" s="138" t="s">
        <v>493</v>
      </c>
      <c r="D160" s="111" t="s">
        <v>200</v>
      </c>
      <c r="E160" s="107">
        <v>0</v>
      </c>
      <c r="F160" s="152" t="s">
        <v>34</v>
      </c>
      <c r="G160" s="9"/>
      <c r="H160" s="76"/>
      <c r="I160" s="77"/>
    </row>
    <row r="161" spans="1:9" s="8" customFormat="1" ht="30" customHeight="1">
      <c r="A161" s="119">
        <v>34</v>
      </c>
      <c r="B161" s="113" t="s">
        <v>704</v>
      </c>
      <c r="C161" s="139" t="s">
        <v>705</v>
      </c>
      <c r="D161" s="109" t="s">
        <v>199</v>
      </c>
      <c r="E161" s="110" t="s">
        <v>34</v>
      </c>
      <c r="F161" s="122">
        <f>E162</f>
        <v>0</v>
      </c>
      <c r="G161" s="9"/>
      <c r="H161" s="76"/>
      <c r="I161" s="77"/>
    </row>
    <row r="162" spans="1:9" s="8" customFormat="1" ht="54.75" customHeight="1">
      <c r="A162" s="118"/>
      <c r="B162" s="114"/>
      <c r="C162" s="138" t="s">
        <v>706</v>
      </c>
      <c r="D162" s="111" t="s">
        <v>200</v>
      </c>
      <c r="E162" s="107">
        <v>0</v>
      </c>
      <c r="F162" s="152" t="s">
        <v>34</v>
      </c>
      <c r="G162" s="9"/>
      <c r="H162" s="76"/>
      <c r="I162" s="77"/>
    </row>
    <row r="163" spans="1:9" s="8" customFormat="1" ht="18.75" customHeight="1">
      <c r="A163" s="84" t="s">
        <v>34</v>
      </c>
      <c r="B163" s="85" t="s">
        <v>645</v>
      </c>
      <c r="C163" s="814" t="s">
        <v>644</v>
      </c>
      <c r="D163" s="814" t="s">
        <v>8</v>
      </c>
      <c r="E163" s="814"/>
      <c r="F163" s="815"/>
      <c r="G163" s="9"/>
      <c r="H163" s="76"/>
      <c r="I163" s="77"/>
    </row>
    <row r="164" spans="1:9" s="8" customFormat="1" ht="18.75" customHeight="1">
      <c r="A164" s="119">
        <v>35</v>
      </c>
      <c r="B164" s="113" t="s">
        <v>221</v>
      </c>
      <c r="C164" s="139" t="s">
        <v>647</v>
      </c>
      <c r="D164" s="109" t="s">
        <v>199</v>
      </c>
      <c r="E164" s="110" t="s">
        <v>34</v>
      </c>
      <c r="F164" s="122">
        <f>E165</f>
        <v>2</v>
      </c>
      <c r="G164" s="9"/>
      <c r="H164" s="76"/>
      <c r="I164" s="77"/>
    </row>
    <row r="165" spans="1:9" s="8" customFormat="1" ht="42.75" customHeight="1">
      <c r="A165" s="119"/>
      <c r="B165" s="113"/>
      <c r="C165" s="138" t="s">
        <v>698</v>
      </c>
      <c r="D165" s="111" t="s">
        <v>200</v>
      </c>
      <c r="E165" s="107">
        <v>2</v>
      </c>
      <c r="F165" s="152" t="s">
        <v>34</v>
      </c>
      <c r="G165" s="9"/>
      <c r="H165" s="76"/>
      <c r="I165" s="77"/>
    </row>
    <row r="166" spans="1:9" s="11" customFormat="1" ht="18" customHeight="1" hidden="1">
      <c r="A166" s="84" t="s">
        <v>34</v>
      </c>
      <c r="B166" s="85" t="s">
        <v>194</v>
      </c>
      <c r="C166" s="814" t="s">
        <v>195</v>
      </c>
      <c r="D166" s="814" t="s">
        <v>8</v>
      </c>
      <c r="E166" s="814"/>
      <c r="F166" s="815"/>
      <c r="G166" s="48"/>
      <c r="H166" s="54"/>
      <c r="I166" s="55"/>
    </row>
    <row r="167" spans="1:9" s="11" customFormat="1" ht="18.75" customHeight="1" hidden="1">
      <c r="A167" s="119">
        <v>48</v>
      </c>
      <c r="B167" s="112" t="s">
        <v>196</v>
      </c>
      <c r="C167" s="139" t="s">
        <v>281</v>
      </c>
      <c r="D167" s="109" t="s">
        <v>11</v>
      </c>
      <c r="E167" s="110" t="s">
        <v>34</v>
      </c>
      <c r="F167" s="122">
        <f>E168</f>
        <v>0</v>
      </c>
      <c r="G167" s="48"/>
      <c r="H167" s="54"/>
      <c r="I167" s="55"/>
    </row>
    <row r="168" spans="1:9" s="11" customFormat="1" ht="64.5" customHeight="1" hidden="1">
      <c r="A168" s="119"/>
      <c r="B168" s="114"/>
      <c r="C168" s="138" t="s">
        <v>463</v>
      </c>
      <c r="D168" s="111" t="s">
        <v>11</v>
      </c>
      <c r="E168" s="107">
        <v>0</v>
      </c>
      <c r="F168" s="122" t="s">
        <v>34</v>
      </c>
      <c r="G168" s="48"/>
      <c r="H168" s="54"/>
      <c r="I168" s="55"/>
    </row>
    <row r="169" spans="1:9" s="11" customFormat="1" ht="30" customHeight="1">
      <c r="A169" s="28" t="s">
        <v>33</v>
      </c>
      <c r="B169" s="25" t="s">
        <v>68</v>
      </c>
      <c r="C169" s="848" t="s">
        <v>208</v>
      </c>
      <c r="D169" s="848"/>
      <c r="E169" s="848"/>
      <c r="F169" s="901"/>
      <c r="G169" s="48"/>
      <c r="H169" s="54"/>
      <c r="I169" s="55"/>
    </row>
    <row r="170" spans="1:9" s="11" customFormat="1" ht="18" customHeight="1">
      <c r="A170" s="84" t="s">
        <v>34</v>
      </c>
      <c r="B170" s="85" t="s">
        <v>24</v>
      </c>
      <c r="C170" s="814" t="s">
        <v>25</v>
      </c>
      <c r="D170" s="814" t="s">
        <v>8</v>
      </c>
      <c r="E170" s="814"/>
      <c r="F170" s="815"/>
      <c r="G170" s="48"/>
      <c r="H170" s="54"/>
      <c r="I170" s="55"/>
    </row>
    <row r="171" spans="1:9" s="11" customFormat="1" ht="29.25" customHeight="1">
      <c r="A171" s="119">
        <v>36</v>
      </c>
      <c r="B171" s="113" t="s">
        <v>649</v>
      </c>
      <c r="C171" s="142" t="s">
        <v>650</v>
      </c>
      <c r="D171" s="109" t="s">
        <v>11</v>
      </c>
      <c r="E171" s="110" t="s">
        <v>34</v>
      </c>
      <c r="F171" s="122">
        <f>SUM(E172:E172)</f>
        <v>53</v>
      </c>
      <c r="G171" s="48"/>
      <c r="H171" s="54"/>
      <c r="I171" s="55"/>
    </row>
    <row r="172" spans="1:11" s="11" customFormat="1" ht="57.75" customHeight="1">
      <c r="A172" s="119"/>
      <c r="B172" s="114"/>
      <c r="C172" s="138" t="s">
        <v>709</v>
      </c>
      <c r="D172" s="111" t="s">
        <v>11</v>
      </c>
      <c r="E172" s="107">
        <f>53</f>
        <v>53</v>
      </c>
      <c r="F172" s="122" t="s">
        <v>34</v>
      </c>
      <c r="G172" s="48"/>
      <c r="H172" s="54"/>
      <c r="I172" s="55"/>
      <c r="K172" s="419" t="s">
        <v>620</v>
      </c>
    </row>
    <row r="173" spans="1:14" s="8" customFormat="1" ht="18" customHeight="1">
      <c r="A173" s="84" t="s">
        <v>34</v>
      </c>
      <c r="B173" s="85" t="s">
        <v>26</v>
      </c>
      <c r="C173" s="814" t="s">
        <v>27</v>
      </c>
      <c r="D173" s="814" t="s">
        <v>8</v>
      </c>
      <c r="E173" s="814"/>
      <c r="F173" s="815"/>
      <c r="G173" s="9"/>
      <c r="H173" s="43">
        <v>90.78</v>
      </c>
      <c r="I173" s="43">
        <f>H173*F171</f>
        <v>4811.34</v>
      </c>
      <c r="J173" s="11"/>
      <c r="K173" s="11"/>
      <c r="N173" s="11"/>
    </row>
    <row r="174" spans="1:13" s="8" customFormat="1" ht="18" customHeight="1">
      <c r="A174" s="119">
        <v>37</v>
      </c>
      <c r="B174" s="113" t="s">
        <v>99</v>
      </c>
      <c r="C174" s="139" t="s">
        <v>100</v>
      </c>
      <c r="D174" s="109" t="s">
        <v>199</v>
      </c>
      <c r="E174" s="110" t="s">
        <v>34</v>
      </c>
      <c r="F174" s="122">
        <f>E175</f>
        <v>93</v>
      </c>
      <c r="G174" s="9"/>
      <c r="H174" s="45"/>
      <c r="I174" s="45"/>
      <c r="J174" s="11"/>
      <c r="K174" s="11"/>
      <c r="L174" s="48"/>
      <c r="M174" s="48"/>
    </row>
    <row r="175" spans="1:14" s="13" customFormat="1" ht="77.25" customHeight="1">
      <c r="A175" s="119" t="s">
        <v>8</v>
      </c>
      <c r="B175" s="115"/>
      <c r="C175" s="138" t="s">
        <v>710</v>
      </c>
      <c r="D175" s="111" t="s">
        <v>200</v>
      </c>
      <c r="E175" s="107">
        <f>88+5</f>
        <v>93</v>
      </c>
      <c r="F175" s="122" t="s">
        <v>34</v>
      </c>
      <c r="G175" s="23"/>
      <c r="H175" s="43">
        <v>72.3</v>
      </c>
      <c r="I175" s="43" t="e">
        <f>H175*#REF!</f>
        <v>#REF!</v>
      </c>
      <c r="J175" s="11"/>
      <c r="K175" s="419" t="s">
        <v>620</v>
      </c>
      <c r="N175" s="8"/>
    </row>
    <row r="176" spans="1:14" s="8" customFormat="1" ht="19.5" customHeight="1">
      <c r="A176" s="119">
        <v>38</v>
      </c>
      <c r="B176" s="113" t="s">
        <v>1</v>
      </c>
      <c r="C176" s="139" t="s">
        <v>285</v>
      </c>
      <c r="D176" s="109" t="s">
        <v>199</v>
      </c>
      <c r="E176" s="110" t="s">
        <v>34</v>
      </c>
      <c r="F176" s="122">
        <f>E177</f>
        <v>10.8</v>
      </c>
      <c r="G176" s="9"/>
      <c r="H176" s="45"/>
      <c r="I176" s="45"/>
      <c r="J176" s="11"/>
      <c r="N176" s="13"/>
    </row>
    <row r="177" spans="1:11" s="8" customFormat="1" ht="54" customHeight="1">
      <c r="A177" s="119" t="s">
        <v>8</v>
      </c>
      <c r="B177" s="115"/>
      <c r="C177" s="138" t="s">
        <v>711</v>
      </c>
      <c r="D177" s="111" t="s">
        <v>200</v>
      </c>
      <c r="E177" s="107">
        <f>10.8</f>
        <v>10.8</v>
      </c>
      <c r="F177" s="122" t="s">
        <v>34</v>
      </c>
      <c r="G177" s="9"/>
      <c r="H177" s="801"/>
      <c r="I177" s="801"/>
      <c r="K177" s="419" t="s">
        <v>620</v>
      </c>
    </row>
    <row r="178" spans="1:9" s="8" customFormat="1" ht="18" customHeight="1">
      <c r="A178" s="84" t="s">
        <v>34</v>
      </c>
      <c r="B178" s="85" t="s">
        <v>28</v>
      </c>
      <c r="C178" s="814" t="s">
        <v>29</v>
      </c>
      <c r="D178" s="814" t="s">
        <v>8</v>
      </c>
      <c r="E178" s="814"/>
      <c r="F178" s="815"/>
      <c r="G178" s="9"/>
      <c r="H178" s="369"/>
      <c r="I178" s="369"/>
    </row>
    <row r="179" spans="1:9" s="8" customFormat="1" ht="17.25" customHeight="1">
      <c r="A179" s="119">
        <v>39</v>
      </c>
      <c r="B179" s="113" t="s">
        <v>2</v>
      </c>
      <c r="C179" s="139" t="s">
        <v>134</v>
      </c>
      <c r="D179" s="109" t="s">
        <v>11</v>
      </c>
      <c r="E179" s="110" t="s">
        <v>34</v>
      </c>
      <c r="F179" s="122">
        <f>E180</f>
        <v>53</v>
      </c>
      <c r="G179" s="9"/>
      <c r="H179" s="369"/>
      <c r="I179" s="369"/>
    </row>
    <row r="180" spans="1:14" s="11" customFormat="1" ht="43.5" customHeight="1" thickBot="1">
      <c r="A180" s="120" t="s">
        <v>8</v>
      </c>
      <c r="B180" s="180"/>
      <c r="C180" s="148" t="s">
        <v>712</v>
      </c>
      <c r="D180" s="149" t="s">
        <v>11</v>
      </c>
      <c r="E180" s="150">
        <v>53</v>
      </c>
      <c r="F180" s="153" t="s">
        <v>34</v>
      </c>
      <c r="G180" s="10"/>
      <c r="H180" s="43">
        <v>78.42</v>
      </c>
      <c r="I180" s="43">
        <f>H180*F176</f>
        <v>846.94</v>
      </c>
      <c r="J180" s="13"/>
      <c r="K180" s="419" t="s">
        <v>620</v>
      </c>
      <c r="N180" s="8"/>
    </row>
    <row r="181" spans="6:14" ht="12.75">
      <c r="F181" s="155"/>
      <c r="N181" s="11"/>
    </row>
    <row r="182" ht="12.75">
      <c r="F182" s="155"/>
    </row>
    <row r="183" ht="12.75">
      <c r="F183" s="155"/>
    </row>
    <row r="184" ht="12.75">
      <c r="F184" s="155"/>
    </row>
    <row r="185" ht="12.75">
      <c r="F185" s="155"/>
    </row>
    <row r="186" ht="12.75">
      <c r="F186" s="155"/>
    </row>
  </sheetData>
  <sheetProtection/>
  <autoFilter ref="A3:F180"/>
  <mergeCells count="54">
    <mergeCell ref="C178:F178"/>
    <mergeCell ref="C166:F166"/>
    <mergeCell ref="C169:F169"/>
    <mergeCell ref="C170:F170"/>
    <mergeCell ref="C173:F173"/>
    <mergeCell ref="H177:I177"/>
    <mergeCell ref="C155:F155"/>
    <mergeCell ref="H155:I155"/>
    <mergeCell ref="H156:I156"/>
    <mergeCell ref="C163:F163"/>
    <mergeCell ref="H108:I108"/>
    <mergeCell ref="C111:F111"/>
    <mergeCell ref="C154:F154"/>
    <mergeCell ref="H117:I117"/>
    <mergeCell ref="C123:F123"/>
    <mergeCell ref="H126:I126"/>
    <mergeCell ref="C128:F128"/>
    <mergeCell ref="C133:F133"/>
    <mergeCell ref="C134:F134"/>
    <mergeCell ref="C137:F137"/>
    <mergeCell ref="H137:I137"/>
    <mergeCell ref="H140:I140"/>
    <mergeCell ref="C146:F146"/>
    <mergeCell ref="C151:F151"/>
    <mergeCell ref="C114:F114"/>
    <mergeCell ref="C79:F79"/>
    <mergeCell ref="C82:F82"/>
    <mergeCell ref="C107:F107"/>
    <mergeCell ref="C108:F108"/>
    <mergeCell ref="C29:F29"/>
    <mergeCell ref="C60:F60"/>
    <mergeCell ref="C61:F61"/>
    <mergeCell ref="C66:F66"/>
    <mergeCell ref="C71:F71"/>
    <mergeCell ref="C72:F72"/>
    <mergeCell ref="H29:I29"/>
    <mergeCell ref="C5:F5"/>
    <mergeCell ref="H5:I5"/>
    <mergeCell ref="C6:F6"/>
    <mergeCell ref="B14:F14"/>
    <mergeCell ref="H14:I14"/>
    <mergeCell ref="C15:F15"/>
    <mergeCell ref="H15:I15"/>
    <mergeCell ref="C16:F16"/>
    <mergeCell ref="H16:I16"/>
    <mergeCell ref="C19:F19"/>
    <mergeCell ref="C24:F24"/>
    <mergeCell ref="H24:I24"/>
    <mergeCell ref="A1:F1"/>
    <mergeCell ref="H1:I1"/>
    <mergeCell ref="A2:F2"/>
    <mergeCell ref="H2:I2"/>
    <mergeCell ref="B4:F4"/>
    <mergeCell ref="H4:I4"/>
  </mergeCells>
  <printOptions horizontalCentered="1"/>
  <pageMargins left="0.4724409448818898" right="0.2755905511811024" top="0.3937007874015748" bottom="0.31496062992125984" header="0.2362204724409449" footer="0.15748031496062992"/>
  <pageSetup horizontalDpi="600" verticalDpi="600" orientation="portrait" paperSize="9" scale="55" r:id="rId1"/>
  <rowBreaks count="1" manualBreakCount="1">
    <brk id="47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V272"/>
  <sheetViews>
    <sheetView view="pageBreakPreview" zoomScale="85" zoomScaleSheetLayoutView="85" zoomScalePageLayoutView="0" workbookViewId="0" topLeftCell="A1">
      <selection activeCell="A2" sqref="A2:F2"/>
    </sheetView>
  </sheetViews>
  <sheetFormatPr defaultColWidth="9.125" defaultRowHeight="12.75"/>
  <cols>
    <col min="1" max="1" width="8.00390625" style="622" customWidth="1"/>
    <col min="2" max="2" width="19.625" style="642" customWidth="1"/>
    <col min="3" max="3" width="65.625" style="52" customWidth="1"/>
    <col min="4" max="4" width="10.50390625" style="53" customWidth="1"/>
    <col min="5" max="5" width="9.625" style="22" customWidth="1"/>
    <col min="6" max="6" width="13.00390625" style="24" customWidth="1"/>
    <col min="7" max="7" width="6.125" style="49" hidden="1" customWidth="1"/>
    <col min="8" max="8" width="12.125" style="49" hidden="1" customWidth="1"/>
    <col min="9" max="9" width="13.00390625" style="49" hidden="1" customWidth="1"/>
    <col min="10" max="10" width="9.125" style="49" customWidth="1"/>
    <col min="11" max="11" width="10.00390625" style="49" bestFit="1" customWidth="1"/>
    <col min="12" max="16384" width="9.125" style="49" customWidth="1"/>
  </cols>
  <sheetData>
    <row r="1" spans="1:9" s="4" customFormat="1" ht="31.5" customHeight="1">
      <c r="A1" s="854" t="s">
        <v>16</v>
      </c>
      <c r="B1" s="855"/>
      <c r="C1" s="855"/>
      <c r="D1" s="855"/>
      <c r="E1" s="855"/>
      <c r="F1" s="855"/>
      <c r="G1" s="492"/>
      <c r="H1" s="853"/>
      <c r="I1" s="853"/>
    </row>
    <row r="2" spans="1:11" s="4" customFormat="1" ht="52.5" customHeight="1">
      <c r="A2" s="834" t="s">
        <v>1095</v>
      </c>
      <c r="B2" s="834"/>
      <c r="C2" s="834"/>
      <c r="D2" s="834"/>
      <c r="E2" s="834"/>
      <c r="F2" s="834"/>
      <c r="G2" s="100"/>
      <c r="H2" s="849"/>
      <c r="I2" s="849"/>
      <c r="J2" s="6"/>
      <c r="K2" s="6"/>
    </row>
    <row r="3" spans="1:10" ht="45" customHeight="1">
      <c r="A3" s="608" t="s">
        <v>3</v>
      </c>
      <c r="B3" s="623" t="s">
        <v>228</v>
      </c>
      <c r="C3" s="97" t="s">
        <v>4</v>
      </c>
      <c r="D3" s="97" t="s">
        <v>5</v>
      </c>
      <c r="E3" s="26" t="s">
        <v>6</v>
      </c>
      <c r="F3" s="100" t="s">
        <v>7</v>
      </c>
      <c r="G3" s="130"/>
      <c r="H3" s="26" t="s">
        <v>70</v>
      </c>
      <c r="I3" s="26" t="s">
        <v>71</v>
      </c>
      <c r="J3" s="16"/>
    </row>
    <row r="4" spans="1:10" ht="19.5" customHeight="1">
      <c r="A4" s="609" t="s">
        <v>33</v>
      </c>
      <c r="B4" s="847" t="s">
        <v>140</v>
      </c>
      <c r="C4" s="852"/>
      <c r="D4" s="852"/>
      <c r="E4" s="852"/>
      <c r="F4" s="852"/>
      <c r="G4" s="130"/>
      <c r="H4" s="853"/>
      <c r="I4" s="853"/>
      <c r="J4" s="16"/>
    </row>
    <row r="5" spans="1:10" ht="26.25" customHeight="1">
      <c r="A5" s="610" t="s">
        <v>58</v>
      </c>
      <c r="B5" s="610" t="s">
        <v>73</v>
      </c>
      <c r="C5" s="848" t="s">
        <v>50</v>
      </c>
      <c r="D5" s="848"/>
      <c r="E5" s="848"/>
      <c r="F5" s="848"/>
      <c r="G5" s="130"/>
      <c r="H5" s="849"/>
      <c r="I5" s="849"/>
      <c r="J5" s="16"/>
    </row>
    <row r="6" spans="1:10" ht="18.75" customHeight="1">
      <c r="A6" s="611" t="s">
        <v>34</v>
      </c>
      <c r="B6" s="611" t="s">
        <v>69</v>
      </c>
      <c r="C6" s="814" t="s">
        <v>109</v>
      </c>
      <c r="D6" s="814"/>
      <c r="E6" s="814"/>
      <c r="F6" s="814"/>
      <c r="G6" s="130"/>
      <c r="H6" s="685"/>
      <c r="I6" s="685"/>
      <c r="J6" s="16"/>
    </row>
    <row r="7" spans="1:10" ht="40.5" customHeight="1">
      <c r="A7" s="608" t="s">
        <v>110</v>
      </c>
      <c r="B7" s="608" t="s">
        <v>69</v>
      </c>
      <c r="C7" s="88" t="s">
        <v>197</v>
      </c>
      <c r="D7" s="131" t="s">
        <v>446</v>
      </c>
      <c r="E7" s="89">
        <v>1</v>
      </c>
      <c r="F7" s="89">
        <f>E7</f>
        <v>1</v>
      </c>
      <c r="G7" s="130"/>
      <c r="H7" s="685"/>
      <c r="I7" s="685"/>
      <c r="J7" s="16"/>
    </row>
    <row r="8" spans="1:10" ht="28.5" customHeight="1">
      <c r="A8" s="608" t="s">
        <v>111</v>
      </c>
      <c r="B8" s="608" t="str">
        <f>B7</f>
        <v>00.00.00</v>
      </c>
      <c r="C8" s="88" t="s">
        <v>550</v>
      </c>
      <c r="D8" s="131" t="s">
        <v>446</v>
      </c>
      <c r="E8" s="89">
        <v>1</v>
      </c>
      <c r="F8" s="89">
        <f>E8</f>
        <v>1</v>
      </c>
      <c r="G8" s="130"/>
      <c r="H8" s="685"/>
      <c r="I8" s="685"/>
      <c r="J8" s="16"/>
    </row>
    <row r="9" spans="1:10" ht="20.25" customHeight="1">
      <c r="A9" s="609" t="s">
        <v>38</v>
      </c>
      <c r="B9" s="847" t="s">
        <v>713</v>
      </c>
      <c r="C9" s="852"/>
      <c r="D9" s="852"/>
      <c r="E9" s="852"/>
      <c r="F9" s="852"/>
      <c r="G9" s="130"/>
      <c r="H9" s="853"/>
      <c r="I9" s="853"/>
      <c r="J9" s="16"/>
    </row>
    <row r="10" spans="1:9" s="1" customFormat="1" ht="27" customHeight="1">
      <c r="A10" s="610" t="s">
        <v>60</v>
      </c>
      <c r="B10" s="610" t="s">
        <v>59</v>
      </c>
      <c r="C10" s="848" t="s">
        <v>198</v>
      </c>
      <c r="D10" s="848"/>
      <c r="E10" s="848"/>
      <c r="F10" s="848"/>
      <c r="G10" s="133"/>
      <c r="H10" s="849"/>
      <c r="I10" s="849"/>
    </row>
    <row r="11" spans="1:10" ht="18" customHeight="1">
      <c r="A11" s="611" t="s">
        <v>34</v>
      </c>
      <c r="B11" s="624" t="s">
        <v>13</v>
      </c>
      <c r="C11" s="814" t="s">
        <v>116</v>
      </c>
      <c r="D11" s="814"/>
      <c r="E11" s="850"/>
      <c r="F11" s="850"/>
      <c r="G11" s="130"/>
      <c r="H11" s="801"/>
      <c r="I11" s="801"/>
      <c r="J11" s="16"/>
    </row>
    <row r="12" spans="1:10" s="14" customFormat="1" ht="18.75" customHeight="1">
      <c r="A12" s="608">
        <v>2</v>
      </c>
      <c r="B12" s="623" t="s">
        <v>145</v>
      </c>
      <c r="C12" s="99" t="s">
        <v>232</v>
      </c>
      <c r="D12" s="97" t="s">
        <v>223</v>
      </c>
      <c r="E12" s="101" t="s">
        <v>34</v>
      </c>
      <c r="F12" s="101">
        <f>SUM(E13:E13)</f>
        <v>0.1</v>
      </c>
      <c r="G12" s="342"/>
      <c r="H12" s="43">
        <v>3524.44</v>
      </c>
      <c r="I12" s="43">
        <f>H12*F12</f>
        <v>352.44</v>
      </c>
      <c r="J12" s="17"/>
    </row>
    <row r="13" spans="1:10" ht="71.25" customHeight="1">
      <c r="A13" s="608"/>
      <c r="B13" s="625"/>
      <c r="C13" s="103" t="s">
        <v>843</v>
      </c>
      <c r="D13" s="104" t="s">
        <v>223</v>
      </c>
      <c r="E13" s="105">
        <f>(444.5-347.25)/1000</f>
        <v>0.1</v>
      </c>
      <c r="F13" s="106" t="s">
        <v>34</v>
      </c>
      <c r="G13" s="130"/>
      <c r="H13" s="43"/>
      <c r="I13" s="43"/>
      <c r="J13" s="16"/>
    </row>
    <row r="14" spans="1:10" ht="16.5" customHeight="1">
      <c r="A14" s="611" t="s">
        <v>34</v>
      </c>
      <c r="B14" s="611" t="s">
        <v>552</v>
      </c>
      <c r="C14" s="814" t="s">
        <v>553</v>
      </c>
      <c r="D14" s="814"/>
      <c r="E14" s="850"/>
      <c r="F14" s="850"/>
      <c r="G14" s="130"/>
      <c r="H14" s="43"/>
      <c r="I14" s="43"/>
      <c r="J14" s="16"/>
    </row>
    <row r="15" spans="1:10" ht="19.5" customHeight="1">
      <c r="A15" s="608">
        <v>3</v>
      </c>
      <c r="B15" s="623" t="s">
        <v>555</v>
      </c>
      <c r="C15" s="99" t="s">
        <v>554</v>
      </c>
      <c r="D15" s="97" t="s">
        <v>12</v>
      </c>
      <c r="E15" s="101" t="s">
        <v>34</v>
      </c>
      <c r="F15" s="101">
        <f>SUM(E16:E16)</f>
        <v>12</v>
      </c>
      <c r="G15" s="130"/>
      <c r="H15" s="43"/>
      <c r="I15" s="43"/>
      <c r="J15" s="16"/>
    </row>
    <row r="16" spans="1:10" ht="64.5" customHeight="1">
      <c r="A16" s="608"/>
      <c r="B16" s="625"/>
      <c r="C16" s="103" t="s">
        <v>841</v>
      </c>
      <c r="D16" s="104" t="s">
        <v>12</v>
      </c>
      <c r="E16" s="105">
        <v>12</v>
      </c>
      <c r="F16" s="106" t="s">
        <v>34</v>
      </c>
      <c r="G16" s="130"/>
      <c r="H16" s="43"/>
      <c r="I16" s="43"/>
      <c r="J16" s="16"/>
    </row>
    <row r="17" spans="1:10" ht="19.5" customHeight="1">
      <c r="A17" s="608">
        <v>4</v>
      </c>
      <c r="B17" s="623" t="s">
        <v>556</v>
      </c>
      <c r="C17" s="99" t="s">
        <v>557</v>
      </c>
      <c r="D17" s="97" t="s">
        <v>199</v>
      </c>
      <c r="E17" s="101" t="s">
        <v>34</v>
      </c>
      <c r="F17" s="101">
        <f>SUM(E18:E18)</f>
        <v>20</v>
      </c>
      <c r="G17" s="130"/>
      <c r="H17" s="43"/>
      <c r="I17" s="43"/>
      <c r="J17" s="16"/>
    </row>
    <row r="18" spans="1:10" ht="60.75" customHeight="1">
      <c r="A18" s="608"/>
      <c r="B18" s="625"/>
      <c r="C18" s="103" t="s">
        <v>842</v>
      </c>
      <c r="D18" s="104" t="s">
        <v>200</v>
      </c>
      <c r="E18" s="105">
        <v>20</v>
      </c>
      <c r="F18" s="106" t="s">
        <v>34</v>
      </c>
      <c r="G18" s="130"/>
      <c r="H18" s="43"/>
      <c r="I18" s="43"/>
      <c r="J18" s="16"/>
    </row>
    <row r="19" spans="1:10" ht="18" customHeight="1">
      <c r="A19" s="611" t="s">
        <v>34</v>
      </c>
      <c r="B19" s="611" t="s">
        <v>14</v>
      </c>
      <c r="C19" s="814" t="s">
        <v>117</v>
      </c>
      <c r="D19" s="814"/>
      <c r="E19" s="814"/>
      <c r="F19" s="814"/>
      <c r="G19" s="130"/>
      <c r="H19" s="801"/>
      <c r="I19" s="801"/>
      <c r="J19" s="16"/>
    </row>
    <row r="20" spans="1:10" s="14" customFormat="1" ht="28.5" customHeight="1">
      <c r="A20" s="608">
        <v>5</v>
      </c>
      <c r="B20" s="623" t="s">
        <v>562</v>
      </c>
      <c r="C20" s="99" t="s">
        <v>561</v>
      </c>
      <c r="D20" s="97" t="s">
        <v>199</v>
      </c>
      <c r="E20" s="101" t="s">
        <v>34</v>
      </c>
      <c r="F20" s="101">
        <f>E21</f>
        <v>214</v>
      </c>
      <c r="G20" s="133"/>
      <c r="H20" s="43">
        <v>0.48</v>
      </c>
      <c r="I20" s="43">
        <f>H20*F20</f>
        <v>102.72</v>
      </c>
      <c r="J20" s="17"/>
    </row>
    <row r="21" spans="1:10" ht="68.25" customHeight="1">
      <c r="A21" s="608"/>
      <c r="B21" s="625"/>
      <c r="C21" s="103" t="s">
        <v>844</v>
      </c>
      <c r="D21" s="104" t="s">
        <v>200</v>
      </c>
      <c r="E21" s="105">
        <f>46*4+30</f>
        <v>214</v>
      </c>
      <c r="F21" s="105" t="s">
        <v>34</v>
      </c>
      <c r="G21" s="130"/>
      <c r="H21" s="43"/>
      <c r="I21" s="43"/>
      <c r="J21" s="16"/>
    </row>
    <row r="22" spans="1:12" ht="31.5" customHeight="1" hidden="1">
      <c r="A22" s="612">
        <v>5</v>
      </c>
      <c r="B22" s="626" t="s">
        <v>295</v>
      </c>
      <c r="C22" s="376" t="s">
        <v>565</v>
      </c>
      <c r="D22" s="377" t="s">
        <v>839</v>
      </c>
      <c r="E22" s="272" t="s">
        <v>34</v>
      </c>
      <c r="F22" s="272">
        <f>E23</f>
        <v>0</v>
      </c>
      <c r="G22" s="130"/>
      <c r="H22" s="43"/>
      <c r="I22" s="43"/>
      <c r="J22" s="16"/>
      <c r="L22" s="391"/>
    </row>
    <row r="23" spans="1:10" ht="61.5" customHeight="1" hidden="1">
      <c r="A23" s="612"/>
      <c r="B23" s="627"/>
      <c r="C23" s="380" t="s">
        <v>566</v>
      </c>
      <c r="D23" s="381" t="s">
        <v>840</v>
      </c>
      <c r="E23" s="382">
        <v>0</v>
      </c>
      <c r="F23" s="382" t="s">
        <v>34</v>
      </c>
      <c r="G23" s="130"/>
      <c r="H23" s="43"/>
      <c r="I23" s="43"/>
      <c r="J23" s="16"/>
    </row>
    <row r="24" spans="1:10" ht="18" customHeight="1">
      <c r="A24" s="611" t="s">
        <v>34</v>
      </c>
      <c r="B24" s="611" t="s">
        <v>15</v>
      </c>
      <c r="C24" s="814" t="s">
        <v>10</v>
      </c>
      <c r="D24" s="814"/>
      <c r="E24" s="814"/>
      <c r="F24" s="814"/>
      <c r="G24" s="130"/>
      <c r="H24" s="801"/>
      <c r="I24" s="801"/>
      <c r="J24" s="16"/>
    </row>
    <row r="25" spans="1:10" ht="18" customHeight="1">
      <c r="A25" s="608">
        <v>6</v>
      </c>
      <c r="B25" s="623" t="s">
        <v>30</v>
      </c>
      <c r="C25" s="99" t="s">
        <v>567</v>
      </c>
      <c r="D25" s="97" t="s">
        <v>199</v>
      </c>
      <c r="E25" s="101" t="s">
        <v>34</v>
      </c>
      <c r="F25" s="101">
        <f>SUM(E26)</f>
        <v>212.94</v>
      </c>
      <c r="G25" s="130"/>
      <c r="H25" s="683"/>
      <c r="I25" s="683"/>
      <c r="J25" s="16"/>
    </row>
    <row r="26" spans="1:11" ht="54" customHeight="1">
      <c r="A26" s="608"/>
      <c r="B26" s="625"/>
      <c r="C26" s="103" t="s">
        <v>972</v>
      </c>
      <c r="D26" s="104" t="s">
        <v>200</v>
      </c>
      <c r="E26" s="105">
        <f>E35+E32</f>
        <v>212.94</v>
      </c>
      <c r="F26" s="105" t="s">
        <v>34</v>
      </c>
      <c r="G26" s="130"/>
      <c r="H26" s="683"/>
      <c r="I26" s="683"/>
      <c r="J26" s="16"/>
      <c r="K26" s="574" t="s">
        <v>863</v>
      </c>
    </row>
    <row r="27" spans="1:13" ht="66">
      <c r="A27" s="607" t="s">
        <v>35</v>
      </c>
      <c r="B27" s="607" t="str">
        <f>B25</f>
        <v>01.02.04.11</v>
      </c>
      <c r="C27" s="90" t="s">
        <v>837</v>
      </c>
      <c r="D27" s="91" t="s">
        <v>201</v>
      </c>
      <c r="E27" s="92">
        <f>E26*0.2</f>
        <v>42.59</v>
      </c>
      <c r="F27" s="92">
        <f>E27</f>
        <v>42.59</v>
      </c>
      <c r="G27" s="130"/>
      <c r="H27" s="683"/>
      <c r="I27" s="683"/>
      <c r="J27" s="16"/>
      <c r="K27" s="543"/>
      <c r="L27" s="543"/>
      <c r="M27" s="543"/>
    </row>
    <row r="28" spans="1:11" s="14" customFormat="1" ht="19.5" customHeight="1">
      <c r="A28" s="608">
        <v>7</v>
      </c>
      <c r="B28" s="623" t="s">
        <v>119</v>
      </c>
      <c r="C28" s="99" t="s">
        <v>874</v>
      </c>
      <c r="D28" s="97" t="s">
        <v>199</v>
      </c>
      <c r="E28" s="101" t="s">
        <v>34</v>
      </c>
      <c r="F28" s="101">
        <f>SUM(E29)</f>
        <v>23.1</v>
      </c>
      <c r="G28" s="133"/>
      <c r="H28" s="43">
        <v>13.88</v>
      </c>
      <c r="I28" s="43">
        <f>H28*F28</f>
        <v>320.63</v>
      </c>
      <c r="J28" s="17"/>
      <c r="K28" s="567" t="s">
        <v>863</v>
      </c>
    </row>
    <row r="29" spans="1:10" ht="33" customHeight="1">
      <c r="A29" s="608"/>
      <c r="B29" s="625"/>
      <c r="C29" s="103" t="s">
        <v>875</v>
      </c>
      <c r="D29" s="104" t="s">
        <v>200</v>
      </c>
      <c r="E29" s="105">
        <f>'1.2.3. Zjazdy indywidualne'!N6</f>
        <v>23.1</v>
      </c>
      <c r="F29" s="105" t="s">
        <v>34</v>
      </c>
      <c r="G29" s="130"/>
      <c r="H29" s="43"/>
      <c r="I29" s="43"/>
      <c r="J29" s="16"/>
    </row>
    <row r="30" spans="1:177" s="15" customFormat="1" ht="40.5" customHeight="1">
      <c r="A30" s="607" t="s">
        <v>146</v>
      </c>
      <c r="B30" s="607" t="str">
        <f>B28</f>
        <v>01.02.04.21</v>
      </c>
      <c r="C30" s="90" t="s">
        <v>876</v>
      </c>
      <c r="D30" s="91" t="s">
        <v>201</v>
      </c>
      <c r="E30" s="92">
        <f>E29*0.1</f>
        <v>2.31</v>
      </c>
      <c r="F30" s="92">
        <f>0.15*F28</f>
        <v>3.47</v>
      </c>
      <c r="G30" s="107"/>
      <c r="H30" s="45"/>
      <c r="I30" s="45"/>
      <c r="J30" s="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</row>
    <row r="31" spans="1:177" s="15" customFormat="1" ht="28.5" customHeight="1">
      <c r="A31" s="608">
        <v>8</v>
      </c>
      <c r="B31" s="623" t="s">
        <v>31</v>
      </c>
      <c r="C31" s="99" t="s">
        <v>575</v>
      </c>
      <c r="D31" s="97" t="s">
        <v>199</v>
      </c>
      <c r="E31" s="101" t="s">
        <v>34</v>
      </c>
      <c r="F31" s="101"/>
      <c r="G31" s="107"/>
      <c r="H31" s="45"/>
      <c r="I31" s="45"/>
      <c r="J31" s="8"/>
      <c r="K31" s="567" t="s">
        <v>863</v>
      </c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</row>
    <row r="32" spans="1:177" s="15" customFormat="1" ht="45.75" customHeight="1">
      <c r="A32" s="608"/>
      <c r="B32" s="625"/>
      <c r="C32" s="103" t="s">
        <v>892</v>
      </c>
      <c r="D32" s="104" t="s">
        <v>200</v>
      </c>
      <c r="E32" s="105">
        <v>66.52</v>
      </c>
      <c r="F32" s="105" t="s">
        <v>34</v>
      </c>
      <c r="G32" s="107"/>
      <c r="H32" s="45"/>
      <c r="I32" s="45"/>
      <c r="J32" s="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</row>
    <row r="33" spans="1:177" s="15" customFormat="1" ht="39.75" customHeight="1">
      <c r="A33" s="607" t="s">
        <v>147</v>
      </c>
      <c r="B33" s="607" t="str">
        <f>B31</f>
        <v>01.02.04.22</v>
      </c>
      <c r="C33" s="90" t="s">
        <v>893</v>
      </c>
      <c r="D33" s="91" t="s">
        <v>201</v>
      </c>
      <c r="E33" s="92">
        <f>E32*0.05</f>
        <v>3.33</v>
      </c>
      <c r="F33" s="92">
        <f>E33</f>
        <v>3.33</v>
      </c>
      <c r="G33" s="107"/>
      <c r="H33" s="45"/>
      <c r="I33" s="45"/>
      <c r="J33" s="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</row>
    <row r="34" spans="1:177" s="15" customFormat="1" ht="20.25" customHeight="1">
      <c r="A34" s="608">
        <v>9</v>
      </c>
      <c r="B34" s="623" t="s">
        <v>149</v>
      </c>
      <c r="C34" s="99" t="s">
        <v>578</v>
      </c>
      <c r="D34" s="97" t="s">
        <v>199</v>
      </c>
      <c r="E34" s="557" t="s">
        <v>34</v>
      </c>
      <c r="F34" s="557">
        <f>E35</f>
        <v>146.42</v>
      </c>
      <c r="G34" s="107"/>
      <c r="H34" s="45"/>
      <c r="I34" s="45"/>
      <c r="J34" s="8"/>
      <c r="K34" s="567" t="s">
        <v>863</v>
      </c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</row>
    <row r="35" spans="1:177" s="15" customFormat="1" ht="52.5">
      <c r="A35" s="608"/>
      <c r="B35" s="625"/>
      <c r="C35" s="103" t="s">
        <v>825</v>
      </c>
      <c r="D35" s="104" t="s">
        <v>200</v>
      </c>
      <c r="E35" s="558">
        <v>146.42</v>
      </c>
      <c r="F35" s="558" t="s">
        <v>34</v>
      </c>
      <c r="G35" s="107"/>
      <c r="H35" s="45"/>
      <c r="I35" s="45"/>
      <c r="J35" s="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</row>
    <row r="36" spans="1:177" s="15" customFormat="1" ht="73.5" customHeight="1">
      <c r="A36" s="607" t="s">
        <v>148</v>
      </c>
      <c r="B36" s="607" t="str">
        <f>B34</f>
        <v>01.02.04.24</v>
      </c>
      <c r="C36" s="90" t="s">
        <v>838</v>
      </c>
      <c r="D36" s="91" t="s">
        <v>201</v>
      </c>
      <c r="E36" s="559">
        <f>E35*0.06</f>
        <v>8.79</v>
      </c>
      <c r="F36" s="559"/>
      <c r="G36" s="107"/>
      <c r="H36" s="45"/>
      <c r="I36" s="45"/>
      <c r="J36" s="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</row>
    <row r="37" spans="1:177" s="15" customFormat="1" ht="21" customHeight="1" hidden="1">
      <c r="A37" s="608">
        <v>10</v>
      </c>
      <c r="B37" s="623" t="s">
        <v>581</v>
      </c>
      <c r="C37" s="99" t="s">
        <v>582</v>
      </c>
      <c r="D37" s="97" t="s">
        <v>199</v>
      </c>
      <c r="E37" s="101" t="s">
        <v>34</v>
      </c>
      <c r="F37" s="101">
        <f>SUM(E38)</f>
        <v>18</v>
      </c>
      <c r="G37" s="107"/>
      <c r="H37" s="45"/>
      <c r="I37" s="45"/>
      <c r="J37" s="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</row>
    <row r="38" spans="1:177" s="15" customFormat="1" ht="42.75" customHeight="1" hidden="1">
      <c r="A38" s="608"/>
      <c r="B38" s="625"/>
      <c r="C38" s="103" t="s">
        <v>583</v>
      </c>
      <c r="D38" s="104" t="s">
        <v>200</v>
      </c>
      <c r="E38" s="105">
        <f>18</f>
        <v>18</v>
      </c>
      <c r="F38" s="105" t="s">
        <v>34</v>
      </c>
      <c r="G38" s="107"/>
      <c r="H38" s="45"/>
      <c r="I38" s="45"/>
      <c r="J38" s="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</row>
    <row r="39" spans="1:177" s="15" customFormat="1" ht="38.25" customHeight="1" hidden="1">
      <c r="A39" s="607" t="s">
        <v>36</v>
      </c>
      <c r="B39" s="607" t="str">
        <f>B37</f>
        <v>01.02.04.23</v>
      </c>
      <c r="C39" s="90" t="s">
        <v>584</v>
      </c>
      <c r="D39" s="91" t="s">
        <v>201</v>
      </c>
      <c r="E39" s="92">
        <f>E38*0.1</f>
        <v>1.8</v>
      </c>
      <c r="F39" s="92">
        <f>E39</f>
        <v>1.8</v>
      </c>
      <c r="G39" s="107"/>
      <c r="H39" s="45"/>
      <c r="I39" s="45"/>
      <c r="J39" s="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</row>
    <row r="40" spans="1:177" s="15" customFormat="1" ht="18" customHeight="1">
      <c r="A40" s="608" t="s">
        <v>990</v>
      </c>
      <c r="B40" s="623" t="s">
        <v>585</v>
      </c>
      <c r="C40" s="99" t="s">
        <v>762</v>
      </c>
      <c r="D40" s="97" t="s">
        <v>11</v>
      </c>
      <c r="E40" s="101" t="s">
        <v>34</v>
      </c>
      <c r="F40" s="101">
        <f>SUM(E41)</f>
        <v>196</v>
      </c>
      <c r="G40" s="107"/>
      <c r="H40" s="45"/>
      <c r="I40" s="45"/>
      <c r="J40" s="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</row>
    <row r="41" spans="1:177" s="15" customFormat="1" ht="90.75" customHeight="1">
      <c r="A41" s="608"/>
      <c r="B41" s="627"/>
      <c r="C41" s="103" t="s">
        <v>845</v>
      </c>
      <c r="D41" s="104" t="s">
        <v>11</v>
      </c>
      <c r="E41" s="105">
        <f>98*2</f>
        <v>196</v>
      </c>
      <c r="F41" s="105" t="s">
        <v>34</v>
      </c>
      <c r="G41" s="107"/>
      <c r="H41" s="45"/>
      <c r="I41" s="45"/>
      <c r="J41" s="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</row>
    <row r="42" spans="1:177" s="15" customFormat="1" ht="69" customHeight="1">
      <c r="A42" s="607" t="s">
        <v>36</v>
      </c>
      <c r="B42" s="607" t="str">
        <f>B40</f>
        <v>01.02.04.41</v>
      </c>
      <c r="C42" s="90" t="s">
        <v>846</v>
      </c>
      <c r="D42" s="91" t="s">
        <v>201</v>
      </c>
      <c r="E42" s="92">
        <f>E41*0.3*0.15</f>
        <v>8.82</v>
      </c>
      <c r="F42" s="92">
        <f>E42</f>
        <v>8.82</v>
      </c>
      <c r="G42" s="107"/>
      <c r="H42" s="45"/>
      <c r="I42" s="45"/>
      <c r="J42" s="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</row>
    <row r="43" spans="1:177" s="15" customFormat="1" ht="19.5" customHeight="1" hidden="1">
      <c r="A43" s="608">
        <v>12</v>
      </c>
      <c r="B43" s="623" t="s">
        <v>155</v>
      </c>
      <c r="C43" s="99" t="s">
        <v>589</v>
      </c>
      <c r="D43" s="97" t="s">
        <v>11</v>
      </c>
      <c r="E43" s="101" t="s">
        <v>34</v>
      </c>
      <c r="F43" s="101">
        <f>SUM(E44)</f>
        <v>78.9</v>
      </c>
      <c r="G43" s="107"/>
      <c r="H43" s="45"/>
      <c r="I43" s="45"/>
      <c r="J43" s="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</row>
    <row r="44" spans="1:177" s="15" customFormat="1" ht="42" customHeight="1" hidden="1">
      <c r="A44" s="607"/>
      <c r="B44" s="607"/>
      <c r="C44" s="90" t="s">
        <v>654</v>
      </c>
      <c r="D44" s="91" t="s">
        <v>11</v>
      </c>
      <c r="E44" s="92">
        <f>78.9</f>
        <v>78.9</v>
      </c>
      <c r="F44" s="92" t="s">
        <v>34</v>
      </c>
      <c r="G44" s="107"/>
      <c r="H44" s="45"/>
      <c r="I44" s="45"/>
      <c r="J44" s="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</row>
    <row r="45" spans="1:177" s="15" customFormat="1" ht="40.5" customHeight="1" hidden="1">
      <c r="A45" s="607" t="s">
        <v>591</v>
      </c>
      <c r="B45" s="607" t="str">
        <f>B43</f>
        <v>01.02.04.71</v>
      </c>
      <c r="C45" s="90" t="s">
        <v>592</v>
      </c>
      <c r="D45" s="91" t="s">
        <v>201</v>
      </c>
      <c r="E45" s="92">
        <f>(3.14*0.25*0.25*78.9-3.14*0.2*0.2*78.9)</f>
        <v>5.57</v>
      </c>
      <c r="F45" s="92">
        <f>E45</f>
        <v>5.57</v>
      </c>
      <c r="G45" s="107"/>
      <c r="H45" s="45"/>
      <c r="I45" s="45"/>
      <c r="J45" s="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</row>
    <row r="46" spans="1:177" s="15" customFormat="1" ht="18.75" customHeight="1" hidden="1">
      <c r="A46" s="608">
        <v>13</v>
      </c>
      <c r="B46" s="623" t="s">
        <v>152</v>
      </c>
      <c r="C46" s="99" t="s">
        <v>593</v>
      </c>
      <c r="D46" s="97" t="s">
        <v>11</v>
      </c>
      <c r="E46" s="101" t="s">
        <v>34</v>
      </c>
      <c r="F46" s="101">
        <f>SUM(E47)</f>
        <v>1</v>
      </c>
      <c r="G46" s="107"/>
      <c r="H46" s="45"/>
      <c r="I46" s="45"/>
      <c r="J46" s="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</row>
    <row r="47" spans="1:177" s="15" customFormat="1" ht="45.75" customHeight="1" hidden="1">
      <c r="A47" s="607"/>
      <c r="B47" s="607"/>
      <c r="C47" s="90" t="s">
        <v>594</v>
      </c>
      <c r="D47" s="91" t="s">
        <v>11</v>
      </c>
      <c r="E47" s="92">
        <v>1</v>
      </c>
      <c r="F47" s="92" t="s">
        <v>34</v>
      </c>
      <c r="G47" s="107"/>
      <c r="H47" s="45"/>
      <c r="I47" s="45"/>
      <c r="J47" s="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</row>
    <row r="48" spans="1:177" s="15" customFormat="1" ht="40.5" customHeight="1" hidden="1">
      <c r="A48" s="607" t="s">
        <v>595</v>
      </c>
      <c r="B48" s="607" t="str">
        <f>B46</f>
        <v>01.02.04.72</v>
      </c>
      <c r="C48" s="90" t="s">
        <v>596</v>
      </c>
      <c r="D48" s="91" t="s">
        <v>201</v>
      </c>
      <c r="E48" s="92">
        <f>(3.14*0.35*0.35*1-3.14*0.3*0.3*1)</f>
        <v>0.1</v>
      </c>
      <c r="F48" s="92">
        <f>E48</f>
        <v>0.1</v>
      </c>
      <c r="G48" s="107"/>
      <c r="H48" s="45"/>
      <c r="I48" s="45"/>
      <c r="J48" s="8"/>
      <c r="K48" s="82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</row>
    <row r="49" spans="1:177" s="15" customFormat="1" ht="18.75" customHeight="1" hidden="1">
      <c r="A49" s="608">
        <v>6</v>
      </c>
      <c r="B49" s="623" t="s">
        <v>32</v>
      </c>
      <c r="C49" s="99" t="s">
        <v>153</v>
      </c>
      <c r="D49" s="97" t="s">
        <v>9</v>
      </c>
      <c r="E49" s="101" t="s">
        <v>34</v>
      </c>
      <c r="F49" s="101">
        <f>SUM(E50)</f>
        <v>3</v>
      </c>
      <c r="G49" s="107"/>
      <c r="H49" s="45"/>
      <c r="I49" s="45"/>
      <c r="J49" s="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</row>
    <row r="50" spans="1:177" s="15" customFormat="1" ht="40.5" customHeight="1" hidden="1">
      <c r="A50" s="607"/>
      <c r="B50" s="607"/>
      <c r="C50" s="90" t="s">
        <v>761</v>
      </c>
      <c r="D50" s="91" t="s">
        <v>9</v>
      </c>
      <c r="E50" s="92">
        <v>3</v>
      </c>
      <c r="F50" s="92" t="s">
        <v>34</v>
      </c>
      <c r="G50" s="107"/>
      <c r="H50" s="45"/>
      <c r="I50" s="45"/>
      <c r="J50" s="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</row>
    <row r="51" spans="1:178" s="15" customFormat="1" ht="18" customHeight="1" hidden="1">
      <c r="A51" s="608">
        <v>7</v>
      </c>
      <c r="B51" s="623" t="s">
        <v>121</v>
      </c>
      <c r="C51" s="99" t="s">
        <v>154</v>
      </c>
      <c r="D51" s="97" t="s">
        <v>9</v>
      </c>
      <c r="E51" s="101" t="s">
        <v>34</v>
      </c>
      <c r="F51" s="101">
        <f>SUM(E52)</f>
        <v>5</v>
      </c>
      <c r="G51" s="107"/>
      <c r="H51" s="45"/>
      <c r="I51" s="45"/>
      <c r="J51" s="81"/>
      <c r="K51" s="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</row>
    <row r="52" spans="1:177" s="15" customFormat="1" ht="32.25" customHeight="1" hidden="1">
      <c r="A52" s="607"/>
      <c r="B52" s="607"/>
      <c r="C52" s="90" t="s">
        <v>721</v>
      </c>
      <c r="D52" s="91" t="s">
        <v>9</v>
      </c>
      <c r="E52" s="92">
        <v>5</v>
      </c>
      <c r="F52" s="92" t="s">
        <v>34</v>
      </c>
      <c r="G52" s="107"/>
      <c r="H52" s="45"/>
      <c r="I52" s="45"/>
      <c r="J52" s="8"/>
      <c r="K52" s="392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</row>
    <row r="53" spans="1:177" s="15" customFormat="1" ht="24.75" customHeight="1">
      <c r="A53" s="608" t="s">
        <v>991</v>
      </c>
      <c r="B53" s="608" t="s">
        <v>849</v>
      </c>
      <c r="C53" s="99" t="s">
        <v>850</v>
      </c>
      <c r="D53" s="97" t="s">
        <v>11</v>
      </c>
      <c r="E53" s="101" t="s">
        <v>34</v>
      </c>
      <c r="F53" s="101">
        <f>SUM(E54)</f>
        <v>80</v>
      </c>
      <c r="G53" s="107"/>
      <c r="H53" s="45"/>
      <c r="I53" s="45"/>
      <c r="J53" s="8"/>
      <c r="K53" s="392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</row>
    <row r="54" spans="1:177" s="15" customFormat="1" ht="78.75">
      <c r="A54" s="628"/>
      <c r="B54" s="628"/>
      <c r="C54" s="90" t="s">
        <v>971</v>
      </c>
      <c r="D54" s="104" t="s">
        <v>11</v>
      </c>
      <c r="E54" s="105">
        <v>80</v>
      </c>
      <c r="F54" s="105" t="s">
        <v>34</v>
      </c>
      <c r="G54" s="107"/>
      <c r="H54" s="45"/>
      <c r="I54" s="45"/>
      <c r="J54" s="8"/>
      <c r="K54" s="575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</row>
    <row r="55" spans="1:177" s="15" customFormat="1" ht="19.5" customHeight="1">
      <c r="A55" s="608" t="s">
        <v>992</v>
      </c>
      <c r="B55" s="623" t="s">
        <v>156</v>
      </c>
      <c r="C55" s="99" t="s">
        <v>847</v>
      </c>
      <c r="D55" s="97" t="s">
        <v>11</v>
      </c>
      <c r="E55" s="101" t="s">
        <v>34</v>
      </c>
      <c r="F55" s="101">
        <f>SUM(E56)</f>
        <v>15.8</v>
      </c>
      <c r="G55" s="107"/>
      <c r="H55" s="45"/>
      <c r="I55" s="45"/>
      <c r="J55" s="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</row>
    <row r="56" spans="1:177" s="15" customFormat="1" ht="99" customHeight="1">
      <c r="A56" s="607"/>
      <c r="B56" s="607"/>
      <c r="C56" s="90" t="s">
        <v>973</v>
      </c>
      <c r="D56" s="91" t="s">
        <v>11</v>
      </c>
      <c r="E56" s="92">
        <v>15.8</v>
      </c>
      <c r="F56" s="92" t="s">
        <v>34</v>
      </c>
      <c r="G56" s="107"/>
      <c r="H56" s="45"/>
      <c r="I56" s="45"/>
      <c r="J56" s="8"/>
      <c r="K56" s="567" t="s">
        <v>863</v>
      </c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</row>
    <row r="57" spans="1:141" s="15" customFormat="1" ht="27" customHeight="1">
      <c r="A57" s="610" t="s">
        <v>62</v>
      </c>
      <c r="B57" s="610" t="s">
        <v>122</v>
      </c>
      <c r="C57" s="848" t="s">
        <v>213</v>
      </c>
      <c r="D57" s="848"/>
      <c r="E57" s="848"/>
      <c r="F57" s="848"/>
      <c r="G57" s="107"/>
      <c r="H57" s="45"/>
      <c r="I57" s="45"/>
      <c r="J57" s="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</row>
    <row r="58" spans="1:141" s="15" customFormat="1" ht="20.25" customHeight="1" hidden="1">
      <c r="A58" s="611" t="s">
        <v>34</v>
      </c>
      <c r="B58" s="611" t="s">
        <v>157</v>
      </c>
      <c r="C58" s="814" t="s">
        <v>162</v>
      </c>
      <c r="D58" s="814"/>
      <c r="E58" s="814"/>
      <c r="F58" s="814"/>
      <c r="G58" s="107"/>
      <c r="H58" s="45"/>
      <c r="I58" s="45"/>
      <c r="J58" s="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</row>
    <row r="59" spans="1:141" s="15" customFormat="1" ht="27" customHeight="1" hidden="1">
      <c r="A59" s="608">
        <v>17</v>
      </c>
      <c r="B59" s="608" t="s">
        <v>158</v>
      </c>
      <c r="C59" s="108" t="s">
        <v>159</v>
      </c>
      <c r="D59" s="97" t="s">
        <v>202</v>
      </c>
      <c r="E59" s="101" t="s">
        <v>34</v>
      </c>
      <c r="F59" s="101">
        <f>E60</f>
        <v>0</v>
      </c>
      <c r="G59" s="107"/>
      <c r="H59" s="45"/>
      <c r="I59" s="45"/>
      <c r="J59" s="8"/>
      <c r="K59" s="78"/>
      <c r="L59" s="392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</row>
    <row r="60" spans="1:141" s="15" customFormat="1" ht="46.5" customHeight="1" hidden="1">
      <c r="A60" s="608"/>
      <c r="B60" s="623"/>
      <c r="C60" s="103" t="s">
        <v>601</v>
      </c>
      <c r="D60" s="104" t="s">
        <v>201</v>
      </c>
      <c r="E60" s="105">
        <v>0</v>
      </c>
      <c r="F60" s="101" t="s">
        <v>34</v>
      </c>
      <c r="G60" s="107"/>
      <c r="H60" s="45"/>
      <c r="I60" s="45"/>
      <c r="J60" s="8"/>
      <c r="K60" s="8"/>
      <c r="L60" s="8"/>
      <c r="M60" s="8"/>
      <c r="N60" s="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</row>
    <row r="61" spans="1:141" s="15" customFormat="1" ht="33" customHeight="1">
      <c r="A61" s="611" t="s">
        <v>993</v>
      </c>
      <c r="B61" s="611" t="s">
        <v>160</v>
      </c>
      <c r="C61" s="681" t="s">
        <v>161</v>
      </c>
      <c r="D61" s="85" t="s">
        <v>202</v>
      </c>
      <c r="E61" s="682" t="s">
        <v>34</v>
      </c>
      <c r="F61" s="682">
        <f>E62</f>
        <v>150.1</v>
      </c>
      <c r="G61" s="107"/>
      <c r="H61" s="45"/>
      <c r="I61" s="45"/>
      <c r="J61" s="8"/>
      <c r="K61" s="78"/>
      <c r="L61" s="392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</row>
    <row r="62" spans="1:141" s="15" customFormat="1" ht="59.25" customHeight="1">
      <c r="A62" s="608"/>
      <c r="B62" s="623"/>
      <c r="C62" s="103" t="s">
        <v>868</v>
      </c>
      <c r="D62" s="104" t="s">
        <v>201</v>
      </c>
      <c r="E62" s="105">
        <f>1.52*98.75</f>
        <v>150.1</v>
      </c>
      <c r="F62" s="101" t="s">
        <v>34</v>
      </c>
      <c r="G62" s="107"/>
      <c r="H62" s="45"/>
      <c r="I62" s="45"/>
      <c r="J62" s="8"/>
      <c r="K62" s="567" t="s">
        <v>863</v>
      </c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</row>
    <row r="63" spans="1:10" s="14" customFormat="1" ht="23.25" customHeight="1">
      <c r="A63" s="611" t="s">
        <v>34</v>
      </c>
      <c r="B63" s="611" t="s">
        <v>75</v>
      </c>
      <c r="C63" s="814" t="s">
        <v>76</v>
      </c>
      <c r="D63" s="814"/>
      <c r="E63" s="814"/>
      <c r="F63" s="814"/>
      <c r="G63" s="133"/>
      <c r="H63" s="43">
        <v>350</v>
      </c>
      <c r="I63" s="43" t="e">
        <f>H63*#REF!</f>
        <v>#REF!</v>
      </c>
      <c r="J63" s="8"/>
    </row>
    <row r="64" spans="1:12" s="14" customFormat="1" ht="19.5" customHeight="1" hidden="1">
      <c r="A64" s="613">
        <v>19</v>
      </c>
      <c r="B64" s="608" t="s">
        <v>163</v>
      </c>
      <c r="C64" s="136" t="s">
        <v>164</v>
      </c>
      <c r="D64" s="109" t="s">
        <v>202</v>
      </c>
      <c r="E64" s="110" t="s">
        <v>34</v>
      </c>
      <c r="F64" s="110">
        <f>E65</f>
        <v>0</v>
      </c>
      <c r="G64" s="133"/>
      <c r="H64" s="43"/>
      <c r="I64" s="43"/>
      <c r="J64" s="8"/>
      <c r="L64" s="393"/>
    </row>
    <row r="65" spans="1:10" s="14" customFormat="1" ht="33" customHeight="1" hidden="1">
      <c r="A65" s="613"/>
      <c r="B65" s="623"/>
      <c r="C65" s="137" t="s">
        <v>603</v>
      </c>
      <c r="D65" s="104" t="s">
        <v>201</v>
      </c>
      <c r="E65" s="105">
        <f>E60</f>
        <v>0</v>
      </c>
      <c r="F65" s="105" t="s">
        <v>34</v>
      </c>
      <c r="G65" s="133"/>
      <c r="H65" s="43"/>
      <c r="I65" s="43"/>
      <c r="J65" s="8"/>
    </row>
    <row r="66" spans="1:12" s="14" customFormat="1" ht="27.75" customHeight="1">
      <c r="A66" s="613" t="s">
        <v>994</v>
      </c>
      <c r="B66" s="608" t="s">
        <v>163</v>
      </c>
      <c r="C66" s="136" t="s">
        <v>604</v>
      </c>
      <c r="D66" s="109" t="s">
        <v>202</v>
      </c>
      <c r="E66" s="110" t="s">
        <v>34</v>
      </c>
      <c r="F66" s="110">
        <f>E67</f>
        <v>202.64</v>
      </c>
      <c r="G66" s="133"/>
      <c r="H66" s="43"/>
      <c r="I66" s="43"/>
      <c r="J66" s="8"/>
      <c r="L66" s="393"/>
    </row>
    <row r="67" spans="1:11" s="14" customFormat="1" ht="45.75" customHeight="1">
      <c r="A67" s="613"/>
      <c r="B67" s="623"/>
      <c r="C67" s="137" t="s">
        <v>869</v>
      </c>
      <c r="D67" s="104" t="s">
        <v>201</v>
      </c>
      <c r="E67" s="105">
        <f>E62*1.35</f>
        <v>202.64</v>
      </c>
      <c r="F67" s="105" t="s">
        <v>34</v>
      </c>
      <c r="G67" s="133"/>
      <c r="H67" s="43"/>
      <c r="I67" s="43"/>
      <c r="J67" s="8"/>
      <c r="K67" s="14" t="s">
        <v>863</v>
      </c>
    </row>
    <row r="68" spans="1:10" s="3" customFormat="1" ht="32.25" customHeight="1">
      <c r="A68" s="610" t="s">
        <v>52</v>
      </c>
      <c r="B68" s="610" t="s">
        <v>123</v>
      </c>
      <c r="C68" s="848" t="s">
        <v>203</v>
      </c>
      <c r="D68" s="848"/>
      <c r="E68" s="848"/>
      <c r="F68" s="848"/>
      <c r="G68" s="130"/>
      <c r="H68" s="44"/>
      <c r="I68" s="44"/>
      <c r="J68" s="18"/>
    </row>
    <row r="69" spans="1:10" s="3" customFormat="1" ht="18" customHeight="1" hidden="1">
      <c r="A69" s="611" t="s">
        <v>34</v>
      </c>
      <c r="B69" s="611" t="s">
        <v>165</v>
      </c>
      <c r="C69" s="814" t="s">
        <v>166</v>
      </c>
      <c r="D69" s="814"/>
      <c r="E69" s="814"/>
      <c r="F69" s="814"/>
      <c r="G69" s="130"/>
      <c r="H69" s="44"/>
      <c r="I69" s="44"/>
      <c r="J69" s="18"/>
    </row>
    <row r="70" spans="1:10" s="3" customFormat="1" ht="19.5" customHeight="1" hidden="1">
      <c r="A70" s="613">
        <v>18</v>
      </c>
      <c r="B70" s="608" t="s">
        <v>167</v>
      </c>
      <c r="C70" s="136" t="s">
        <v>168</v>
      </c>
      <c r="D70" s="109" t="s">
        <v>11</v>
      </c>
      <c r="E70" s="110" t="s">
        <v>34</v>
      </c>
      <c r="F70" s="110">
        <f>E71</f>
        <v>2</v>
      </c>
      <c r="G70" s="130"/>
      <c r="H70" s="44"/>
      <c r="I70" s="44"/>
      <c r="J70" s="18"/>
    </row>
    <row r="71" spans="1:10" s="3" customFormat="1" ht="69" customHeight="1" hidden="1">
      <c r="A71" s="613"/>
      <c r="B71" s="623"/>
      <c r="C71" s="137" t="s">
        <v>453</v>
      </c>
      <c r="D71" s="104" t="s">
        <v>11</v>
      </c>
      <c r="E71" s="105">
        <f>2</f>
        <v>2</v>
      </c>
      <c r="F71" s="105" t="s">
        <v>34</v>
      </c>
      <c r="G71" s="130"/>
      <c r="H71" s="44"/>
      <c r="I71" s="44"/>
      <c r="J71" s="18"/>
    </row>
    <row r="72" spans="1:10" s="3" customFormat="1" ht="18" customHeight="1" hidden="1">
      <c r="A72" s="607" t="s">
        <v>301</v>
      </c>
      <c r="B72" s="607" t="str">
        <f>B70</f>
        <v>03.01.01.11</v>
      </c>
      <c r="C72" s="90" t="s">
        <v>169</v>
      </c>
      <c r="D72" s="91" t="s">
        <v>34</v>
      </c>
      <c r="E72" s="92" t="s">
        <v>34</v>
      </c>
      <c r="F72" s="92" t="s">
        <v>34</v>
      </c>
      <c r="G72" s="130"/>
      <c r="H72" s="44"/>
      <c r="I72" s="44"/>
      <c r="J72" s="18"/>
    </row>
    <row r="73" spans="1:10" s="3" customFormat="1" ht="17.25" customHeight="1" hidden="1">
      <c r="A73" s="614"/>
      <c r="B73" s="629"/>
      <c r="C73" s="196" t="s">
        <v>254</v>
      </c>
      <c r="D73" s="197" t="s">
        <v>300</v>
      </c>
      <c r="E73" s="198">
        <f>0.66*2</f>
        <v>1.32</v>
      </c>
      <c r="F73" s="198">
        <f>E73</f>
        <v>1.32</v>
      </c>
      <c r="G73" s="130"/>
      <c r="H73" s="44"/>
      <c r="I73" s="44"/>
      <c r="J73" s="18"/>
    </row>
    <row r="74" spans="1:10" s="3" customFormat="1" ht="27" customHeight="1" hidden="1">
      <c r="A74" s="615"/>
      <c r="B74" s="629"/>
      <c r="C74" s="199" t="s">
        <v>253</v>
      </c>
      <c r="D74" s="197" t="s">
        <v>300</v>
      </c>
      <c r="E74" s="198">
        <f>2*0.13</f>
        <v>0.26</v>
      </c>
      <c r="F74" s="198">
        <f>E74</f>
        <v>0.26</v>
      </c>
      <c r="G74" s="130"/>
      <c r="H74" s="44"/>
      <c r="I74" s="44"/>
      <c r="J74" s="18"/>
    </row>
    <row r="75" spans="1:10" s="3" customFormat="1" ht="20.25" customHeight="1" hidden="1">
      <c r="A75" s="615"/>
      <c r="B75" s="629"/>
      <c r="C75" s="196" t="s">
        <v>255</v>
      </c>
      <c r="D75" s="197" t="s">
        <v>300</v>
      </c>
      <c r="E75" s="198">
        <f>0.66</f>
        <v>0.66</v>
      </c>
      <c r="F75" s="198">
        <f>E75</f>
        <v>0.66</v>
      </c>
      <c r="G75" s="130"/>
      <c r="H75" s="44"/>
      <c r="I75" s="44"/>
      <c r="J75" s="18"/>
    </row>
    <row r="76" spans="1:10" s="3" customFormat="1" ht="19.5" customHeight="1" hidden="1">
      <c r="A76" s="611" t="s">
        <v>34</v>
      </c>
      <c r="B76" s="611" t="s">
        <v>170</v>
      </c>
      <c r="C76" s="814" t="s">
        <v>171</v>
      </c>
      <c r="D76" s="814"/>
      <c r="E76" s="814"/>
      <c r="F76" s="814"/>
      <c r="G76" s="130"/>
      <c r="H76" s="44"/>
      <c r="I76" s="44"/>
      <c r="J76" s="18"/>
    </row>
    <row r="77" spans="1:10" s="3" customFormat="1" ht="18" customHeight="1" hidden="1">
      <c r="A77" s="613">
        <v>21</v>
      </c>
      <c r="B77" s="608" t="s">
        <v>172</v>
      </c>
      <c r="C77" s="136" t="s">
        <v>607</v>
      </c>
      <c r="D77" s="109" t="s">
        <v>11</v>
      </c>
      <c r="E77" s="110" t="s">
        <v>34</v>
      </c>
      <c r="F77" s="110">
        <f>E78</f>
        <v>9.5</v>
      </c>
      <c r="G77" s="130"/>
      <c r="H77" s="44"/>
      <c r="I77" s="44"/>
      <c r="J77" s="18"/>
    </row>
    <row r="78" spans="1:10" s="3" customFormat="1" ht="30" customHeight="1" hidden="1">
      <c r="A78" s="613"/>
      <c r="B78" s="623"/>
      <c r="C78" s="137" t="s">
        <v>608</v>
      </c>
      <c r="D78" s="104" t="s">
        <v>11</v>
      </c>
      <c r="E78" s="105">
        <f>10.5-1</f>
        <v>9.5</v>
      </c>
      <c r="F78" s="105" t="s">
        <v>34</v>
      </c>
      <c r="G78" s="130"/>
      <c r="H78" s="44"/>
      <c r="I78" s="44"/>
      <c r="J78" s="18"/>
    </row>
    <row r="79" spans="1:9" s="3" customFormat="1" ht="18" customHeight="1">
      <c r="A79" s="611" t="s">
        <v>34</v>
      </c>
      <c r="B79" s="611" t="s">
        <v>102</v>
      </c>
      <c r="C79" s="814" t="s">
        <v>848</v>
      </c>
      <c r="D79" s="814"/>
      <c r="E79" s="814"/>
      <c r="F79" s="814"/>
      <c r="G79" s="130"/>
      <c r="H79" s="44"/>
      <c r="I79" s="44"/>
    </row>
    <row r="80" spans="1:9" s="3" customFormat="1" ht="38.25" customHeight="1" hidden="1">
      <c r="A80" s="613">
        <v>22</v>
      </c>
      <c r="B80" s="608" t="s">
        <v>610</v>
      </c>
      <c r="C80" s="136" t="s">
        <v>655</v>
      </c>
      <c r="D80" s="109" t="s">
        <v>11</v>
      </c>
      <c r="E80" s="110" t="s">
        <v>34</v>
      </c>
      <c r="F80" s="110">
        <f>E81</f>
        <v>244</v>
      </c>
      <c r="G80" s="130"/>
      <c r="H80" s="44"/>
      <c r="I80" s="44"/>
    </row>
    <row r="81" spans="1:13" s="3" customFormat="1" ht="69.75" customHeight="1" hidden="1">
      <c r="A81" s="613"/>
      <c r="B81" s="623"/>
      <c r="C81" s="137" t="s">
        <v>656</v>
      </c>
      <c r="D81" s="104" t="s">
        <v>11</v>
      </c>
      <c r="E81" s="105">
        <f>46+31+45+38+41+43</f>
        <v>244</v>
      </c>
      <c r="F81" s="105" t="s">
        <v>34</v>
      </c>
      <c r="G81" s="130"/>
      <c r="H81" s="44"/>
      <c r="I81" s="44"/>
      <c r="M81" s="3">
        <f>38+41+43</f>
        <v>122</v>
      </c>
    </row>
    <row r="82" spans="1:9" s="3" customFormat="1" ht="17.25" customHeight="1" hidden="1">
      <c r="A82" s="607" t="s">
        <v>611</v>
      </c>
      <c r="B82" s="607" t="str">
        <f>B80</f>
        <v>03.02.01.28</v>
      </c>
      <c r="C82" s="90" t="s">
        <v>175</v>
      </c>
      <c r="D82" s="91" t="s">
        <v>34</v>
      </c>
      <c r="E82" s="92" t="s">
        <v>34</v>
      </c>
      <c r="F82" s="92" t="s">
        <v>34</v>
      </c>
      <c r="G82" s="130"/>
      <c r="H82" s="44"/>
      <c r="I82" s="44"/>
    </row>
    <row r="83" spans="1:12" s="3" customFormat="1" ht="26.25" customHeight="1" hidden="1">
      <c r="A83" s="615"/>
      <c r="B83" s="630"/>
      <c r="C83" s="199" t="s">
        <v>259</v>
      </c>
      <c r="D83" s="197" t="s">
        <v>300</v>
      </c>
      <c r="E83" s="198">
        <f>0.18*1</f>
        <v>0.18</v>
      </c>
      <c r="F83" s="198">
        <f>E83</f>
        <v>0.18</v>
      </c>
      <c r="G83" s="130"/>
      <c r="H83" s="44"/>
      <c r="I83" s="44"/>
      <c r="L83" s="418"/>
    </row>
    <row r="84" spans="1:12" s="3" customFormat="1" ht="30.75" customHeight="1" hidden="1">
      <c r="A84" s="615"/>
      <c r="B84" s="630"/>
      <c r="C84" s="196" t="s">
        <v>178</v>
      </c>
      <c r="D84" s="197" t="s">
        <v>300</v>
      </c>
      <c r="E84" s="198">
        <f>1*(1.5*0.85-3.14*0.325*0.325)</f>
        <v>0.94</v>
      </c>
      <c r="F84" s="198">
        <f>E84</f>
        <v>0.94</v>
      </c>
      <c r="G84" s="130"/>
      <c r="H84" s="44"/>
      <c r="I84" s="44"/>
      <c r="L84" s="418"/>
    </row>
    <row r="85" spans="1:12" s="3" customFormat="1" ht="18" customHeight="1" hidden="1">
      <c r="A85" s="607"/>
      <c r="B85" s="607"/>
      <c r="C85" s="201" t="s">
        <v>657</v>
      </c>
      <c r="D85" s="202" t="s">
        <v>11</v>
      </c>
      <c r="E85" s="203">
        <v>1</v>
      </c>
      <c r="F85" s="203">
        <v>1</v>
      </c>
      <c r="G85" s="130"/>
      <c r="H85" s="44"/>
      <c r="I85" s="44"/>
      <c r="L85" s="418"/>
    </row>
    <row r="86" spans="1:9" s="3" customFormat="1" ht="18" customHeight="1">
      <c r="A86" s="613" t="s">
        <v>995</v>
      </c>
      <c r="B86" s="608" t="s">
        <v>124</v>
      </c>
      <c r="C86" s="136" t="s">
        <v>176</v>
      </c>
      <c r="D86" s="109" t="s">
        <v>11</v>
      </c>
      <c r="E86" s="110" t="s">
        <v>34</v>
      </c>
      <c r="F86" s="110">
        <f>E87</f>
        <v>35.5</v>
      </c>
      <c r="G86" s="130"/>
      <c r="H86" s="44"/>
      <c r="I86" s="44"/>
    </row>
    <row r="87" spans="1:11" s="3" customFormat="1" ht="106.5" customHeight="1">
      <c r="A87" s="613"/>
      <c r="B87" s="623"/>
      <c r="C87" s="137" t="s">
        <v>854</v>
      </c>
      <c r="D87" s="104" t="s">
        <v>11</v>
      </c>
      <c r="E87" s="105">
        <v>35.5</v>
      </c>
      <c r="F87" s="105" t="s">
        <v>34</v>
      </c>
      <c r="G87" s="130"/>
      <c r="H87" s="44"/>
      <c r="I87" s="44"/>
      <c r="K87" s="3">
        <f>3+3+3+3.5</f>
        <v>12.5</v>
      </c>
    </row>
    <row r="88" spans="1:9" s="3" customFormat="1" ht="27.75" customHeight="1" hidden="1">
      <c r="A88" s="613">
        <v>23</v>
      </c>
      <c r="B88" s="608" t="s">
        <v>613</v>
      </c>
      <c r="C88" s="136" t="s">
        <v>658</v>
      </c>
      <c r="D88" s="109" t="s">
        <v>12</v>
      </c>
      <c r="E88" s="110" t="s">
        <v>34</v>
      </c>
      <c r="F88" s="110">
        <f>E89</f>
        <v>6</v>
      </c>
      <c r="G88" s="130"/>
      <c r="H88" s="44"/>
      <c r="I88" s="44"/>
    </row>
    <row r="89" spans="1:9" s="3" customFormat="1" ht="78.75" customHeight="1" hidden="1">
      <c r="A89" s="613"/>
      <c r="B89" s="623"/>
      <c r="C89" s="137" t="s">
        <v>614</v>
      </c>
      <c r="D89" s="104" t="s">
        <v>12</v>
      </c>
      <c r="E89" s="105">
        <f>2+4</f>
        <v>6</v>
      </c>
      <c r="F89" s="105" t="s">
        <v>34</v>
      </c>
      <c r="G89" s="130"/>
      <c r="H89" s="44"/>
      <c r="I89" s="44"/>
    </row>
    <row r="90" spans="1:9" s="3" customFormat="1" ht="29.25" customHeight="1" hidden="1">
      <c r="A90" s="613">
        <v>24</v>
      </c>
      <c r="B90" s="608" t="s">
        <v>615</v>
      </c>
      <c r="C90" s="136" t="s">
        <v>659</v>
      </c>
      <c r="D90" s="109" t="s">
        <v>12</v>
      </c>
      <c r="E90" s="110" t="s">
        <v>34</v>
      </c>
      <c r="F90" s="110">
        <f>E91</f>
        <v>1</v>
      </c>
      <c r="G90" s="130"/>
      <c r="H90" s="44"/>
      <c r="I90" s="44"/>
    </row>
    <row r="91" spans="1:9" s="3" customFormat="1" ht="71.25" customHeight="1" hidden="1">
      <c r="A91" s="613"/>
      <c r="B91" s="623"/>
      <c r="C91" s="137" t="s">
        <v>616</v>
      </c>
      <c r="D91" s="104" t="s">
        <v>12</v>
      </c>
      <c r="E91" s="105">
        <v>1</v>
      </c>
      <c r="F91" s="105" t="s">
        <v>34</v>
      </c>
      <c r="G91" s="130"/>
      <c r="H91" s="44"/>
      <c r="I91" s="44"/>
    </row>
    <row r="92" spans="1:9" s="3" customFormat="1" ht="31.5" customHeight="1">
      <c r="A92" s="613" t="s">
        <v>996</v>
      </c>
      <c r="B92" s="623" t="s">
        <v>851</v>
      </c>
      <c r="C92" s="136" t="s">
        <v>852</v>
      </c>
      <c r="D92" s="109" t="s">
        <v>12</v>
      </c>
      <c r="E92" s="110" t="s">
        <v>34</v>
      </c>
      <c r="F92" s="110">
        <f>E93</f>
        <v>4</v>
      </c>
      <c r="G92" s="130"/>
      <c r="H92" s="44"/>
      <c r="I92" s="44"/>
    </row>
    <row r="93" spans="1:9" s="3" customFormat="1" ht="64.5" customHeight="1">
      <c r="A93" s="613"/>
      <c r="B93" s="623"/>
      <c r="C93" s="137" t="s">
        <v>853</v>
      </c>
      <c r="D93" s="104" t="s">
        <v>12</v>
      </c>
      <c r="E93" s="105">
        <v>4</v>
      </c>
      <c r="F93" s="105" t="s">
        <v>34</v>
      </c>
      <c r="G93" s="130"/>
      <c r="H93" s="44"/>
      <c r="I93" s="44"/>
    </row>
    <row r="94" spans="1:9" s="3" customFormat="1" ht="45" customHeight="1" hidden="1">
      <c r="A94" s="608">
        <v>8</v>
      </c>
      <c r="B94" s="623" t="s">
        <v>788</v>
      </c>
      <c r="C94" s="99" t="s">
        <v>789</v>
      </c>
      <c r="D94" s="97" t="s">
        <v>9</v>
      </c>
      <c r="E94" s="101" t="s">
        <v>34</v>
      </c>
      <c r="F94" s="101">
        <v>2</v>
      </c>
      <c r="G94" s="130"/>
      <c r="H94" s="44"/>
      <c r="I94" s="44"/>
    </row>
    <row r="95" spans="1:9" s="3" customFormat="1" ht="81" customHeight="1" hidden="1">
      <c r="A95" s="607"/>
      <c r="B95" s="607"/>
      <c r="C95" s="90" t="s">
        <v>797</v>
      </c>
      <c r="D95" s="91" t="s">
        <v>9</v>
      </c>
      <c r="E95" s="92">
        <v>2</v>
      </c>
      <c r="F95" s="92" t="s">
        <v>34</v>
      </c>
      <c r="G95" s="130"/>
      <c r="H95" s="44"/>
      <c r="I95" s="44"/>
    </row>
    <row r="96" spans="1:9" s="3" customFormat="1" ht="27" customHeight="1">
      <c r="A96" s="610" t="s">
        <v>53</v>
      </c>
      <c r="B96" s="610" t="s">
        <v>61</v>
      </c>
      <c r="C96" s="848" t="s">
        <v>204</v>
      </c>
      <c r="D96" s="848"/>
      <c r="E96" s="848"/>
      <c r="F96" s="848"/>
      <c r="G96" s="130"/>
      <c r="H96" s="44"/>
      <c r="I96" s="44"/>
    </row>
    <row r="97" spans="1:10" s="1" customFormat="1" ht="18" customHeight="1">
      <c r="A97" s="616" t="s">
        <v>34</v>
      </c>
      <c r="B97" s="616" t="s">
        <v>107</v>
      </c>
      <c r="C97" s="875" t="s">
        <v>108</v>
      </c>
      <c r="D97" s="875"/>
      <c r="E97" s="875"/>
      <c r="F97" s="875"/>
      <c r="G97" s="133"/>
      <c r="H97" s="849"/>
      <c r="I97" s="849"/>
      <c r="J97" s="3"/>
    </row>
    <row r="98" spans="1:10" s="1" customFormat="1" ht="27.75" customHeight="1">
      <c r="A98" s="617" t="s">
        <v>997</v>
      </c>
      <c r="B98" s="617" t="s">
        <v>261</v>
      </c>
      <c r="C98" s="569" t="s">
        <v>871</v>
      </c>
      <c r="D98" s="568" t="s">
        <v>872</v>
      </c>
      <c r="E98" s="570" t="s">
        <v>34</v>
      </c>
      <c r="F98" s="570">
        <f>E99</f>
        <v>20.5</v>
      </c>
      <c r="G98" s="133"/>
      <c r="H98" s="685"/>
      <c r="I98" s="685"/>
      <c r="J98" s="3"/>
    </row>
    <row r="99" spans="1:11" s="1" customFormat="1" ht="36.75" customHeight="1">
      <c r="A99" s="617"/>
      <c r="B99" s="617"/>
      <c r="C99" s="571" t="s">
        <v>887</v>
      </c>
      <c r="D99" s="572" t="s">
        <v>873</v>
      </c>
      <c r="E99" s="573">
        <v>20.5</v>
      </c>
      <c r="F99" s="573" t="s">
        <v>34</v>
      </c>
      <c r="G99" s="133"/>
      <c r="H99" s="685"/>
      <c r="I99" s="685"/>
      <c r="J99" s="177"/>
      <c r="K99" s="374"/>
    </row>
    <row r="100" spans="1:10" s="1" customFormat="1" ht="18.75" customHeight="1">
      <c r="A100" s="611" t="s">
        <v>34</v>
      </c>
      <c r="B100" s="611" t="s">
        <v>125</v>
      </c>
      <c r="C100" s="814" t="s">
        <v>126</v>
      </c>
      <c r="D100" s="814"/>
      <c r="E100" s="814"/>
      <c r="F100" s="814"/>
      <c r="G100" s="133"/>
      <c r="H100" s="685"/>
      <c r="I100" s="685"/>
      <c r="J100" s="3"/>
    </row>
    <row r="101" spans="1:10" s="1" customFormat="1" ht="21" customHeight="1">
      <c r="A101" s="615" t="s">
        <v>998</v>
      </c>
      <c r="B101" s="615" t="s">
        <v>179</v>
      </c>
      <c r="C101" s="139" t="s">
        <v>720</v>
      </c>
      <c r="D101" s="109" t="s">
        <v>199</v>
      </c>
      <c r="E101" s="110" t="s">
        <v>34</v>
      </c>
      <c r="F101" s="110">
        <f>E102</f>
        <v>20.5</v>
      </c>
      <c r="G101" s="133"/>
      <c r="H101" s="685"/>
      <c r="I101" s="685"/>
      <c r="J101" s="3"/>
    </row>
    <row r="102" spans="1:9" s="1" customFormat="1" ht="45" customHeight="1">
      <c r="A102" s="615"/>
      <c r="B102" s="615"/>
      <c r="C102" s="138" t="s">
        <v>886</v>
      </c>
      <c r="D102" s="111" t="s">
        <v>200</v>
      </c>
      <c r="E102" s="107">
        <v>20.5</v>
      </c>
      <c r="F102" s="107" t="s">
        <v>34</v>
      </c>
      <c r="G102" s="133"/>
      <c r="H102" s="685"/>
      <c r="I102" s="685"/>
    </row>
    <row r="103" spans="1:9" s="1" customFormat="1" ht="19.5" customHeight="1" hidden="1">
      <c r="A103" s="611" t="s">
        <v>34</v>
      </c>
      <c r="B103" s="611" t="s">
        <v>17</v>
      </c>
      <c r="C103" s="814" t="s">
        <v>18</v>
      </c>
      <c r="D103" s="814"/>
      <c r="E103" s="814"/>
      <c r="F103" s="814"/>
      <c r="G103" s="133"/>
      <c r="H103" s="685"/>
      <c r="I103" s="685"/>
    </row>
    <row r="104" spans="1:9" s="1" customFormat="1" ht="19.5" customHeight="1" hidden="1">
      <c r="A104" s="615">
        <v>28</v>
      </c>
      <c r="B104" s="631" t="s">
        <v>622</v>
      </c>
      <c r="C104" s="139" t="s">
        <v>621</v>
      </c>
      <c r="D104" s="109" t="s">
        <v>199</v>
      </c>
      <c r="E104" s="110" t="s">
        <v>34</v>
      </c>
      <c r="F104" s="110">
        <f>E105</f>
        <v>424.62</v>
      </c>
      <c r="G104" s="133"/>
      <c r="H104" s="685"/>
      <c r="I104" s="685"/>
    </row>
    <row r="105" spans="1:16" s="1" customFormat="1" ht="89.25" customHeight="1" hidden="1">
      <c r="A105" s="614"/>
      <c r="B105" s="632"/>
      <c r="C105" s="138" t="s">
        <v>623</v>
      </c>
      <c r="D105" s="111" t="s">
        <v>200</v>
      </c>
      <c r="E105" s="107">
        <f>114+89.2+135.91+85.51</f>
        <v>424.62</v>
      </c>
      <c r="F105" s="107" t="s">
        <v>34</v>
      </c>
      <c r="G105" s="133"/>
      <c r="H105" s="685"/>
      <c r="I105" s="685"/>
      <c r="K105" s="419"/>
      <c r="M105" s="1">
        <f>114</f>
        <v>114</v>
      </c>
      <c r="N105" s="1">
        <f>98.2</f>
        <v>98.2</v>
      </c>
      <c r="O105" s="1">
        <v>135.91</v>
      </c>
      <c r="P105" s="1">
        <v>85.51</v>
      </c>
    </row>
    <row r="106" spans="1:11" s="8" customFormat="1" ht="18.75" customHeight="1" hidden="1">
      <c r="A106" s="615">
        <v>29</v>
      </c>
      <c r="B106" s="631" t="s">
        <v>183</v>
      </c>
      <c r="C106" s="563" t="s">
        <v>624</v>
      </c>
      <c r="D106" s="396" t="s">
        <v>888</v>
      </c>
      <c r="E106" s="211" t="s">
        <v>34</v>
      </c>
      <c r="F106" s="211">
        <f>E107</f>
        <v>203.2</v>
      </c>
      <c r="G106" s="140"/>
      <c r="H106" s="801"/>
      <c r="I106" s="801"/>
      <c r="J106" s="1"/>
      <c r="K106" s="1"/>
    </row>
    <row r="107" spans="1:11" s="11" customFormat="1" ht="43.5" customHeight="1" hidden="1">
      <c r="A107" s="614"/>
      <c r="B107" s="632"/>
      <c r="C107" s="455" t="s">
        <v>625</v>
      </c>
      <c r="D107" s="456" t="s">
        <v>889</v>
      </c>
      <c r="E107" s="457">
        <f>203.2</f>
        <v>203.2</v>
      </c>
      <c r="F107" s="457" t="s">
        <v>34</v>
      </c>
      <c r="G107" s="141"/>
      <c r="H107" s="43">
        <v>1.26</v>
      </c>
      <c r="I107" s="43">
        <f>H107*F106</f>
        <v>256.03</v>
      </c>
      <c r="J107" s="1"/>
      <c r="K107" s="419"/>
    </row>
    <row r="108" spans="1:11" s="11" customFormat="1" ht="18.75" customHeight="1" hidden="1">
      <c r="A108" s="615">
        <v>30</v>
      </c>
      <c r="B108" s="615" t="s">
        <v>184</v>
      </c>
      <c r="C108" s="563" t="s">
        <v>185</v>
      </c>
      <c r="D108" s="396" t="s">
        <v>888</v>
      </c>
      <c r="E108" s="211" t="s">
        <v>34</v>
      </c>
      <c r="F108" s="211">
        <f>E109</f>
        <v>424.62</v>
      </c>
      <c r="G108" s="141"/>
      <c r="H108" s="43"/>
      <c r="I108" s="43"/>
      <c r="J108" s="1"/>
      <c r="K108" s="8"/>
    </row>
    <row r="109" spans="1:11" s="11" customFormat="1" ht="94.5" customHeight="1" hidden="1">
      <c r="A109" s="615"/>
      <c r="B109" s="632"/>
      <c r="C109" s="582" t="s">
        <v>626</v>
      </c>
      <c r="D109" s="456" t="s">
        <v>889</v>
      </c>
      <c r="E109" s="457">
        <f>E105</f>
        <v>424.62</v>
      </c>
      <c r="F109" s="211" t="s">
        <v>34</v>
      </c>
      <c r="G109" s="141"/>
      <c r="H109" s="43"/>
      <c r="I109" s="43"/>
      <c r="J109" s="1"/>
      <c r="K109" s="419"/>
    </row>
    <row r="110" spans="1:11" s="8" customFormat="1" ht="17.25" customHeight="1" hidden="1">
      <c r="A110" s="615">
        <v>31</v>
      </c>
      <c r="B110" s="615" t="s">
        <v>78</v>
      </c>
      <c r="C110" s="563" t="s">
        <v>77</v>
      </c>
      <c r="D110" s="396" t="s">
        <v>888</v>
      </c>
      <c r="E110" s="211" t="s">
        <v>34</v>
      </c>
      <c r="F110" s="211">
        <f>E111</f>
        <v>203.2</v>
      </c>
      <c r="G110" s="134"/>
      <c r="H110" s="45"/>
      <c r="I110" s="45"/>
      <c r="J110" s="1"/>
      <c r="K110" s="11"/>
    </row>
    <row r="111" spans="1:11" s="8" customFormat="1" ht="42" customHeight="1" hidden="1">
      <c r="A111" s="615"/>
      <c r="B111" s="632"/>
      <c r="C111" s="455" t="s">
        <v>627</v>
      </c>
      <c r="D111" s="456" t="s">
        <v>889</v>
      </c>
      <c r="E111" s="457">
        <f>E107</f>
        <v>203.2</v>
      </c>
      <c r="F111" s="211" t="s">
        <v>34</v>
      </c>
      <c r="G111" s="134"/>
      <c r="H111" s="45"/>
      <c r="I111" s="45"/>
      <c r="J111" s="1"/>
      <c r="K111" s="419"/>
    </row>
    <row r="112" spans="1:10" s="8" customFormat="1" ht="18" customHeight="1">
      <c r="A112" s="611" t="s">
        <v>34</v>
      </c>
      <c r="B112" s="611" t="s">
        <v>19</v>
      </c>
      <c r="C112" s="814" t="s">
        <v>20</v>
      </c>
      <c r="D112" s="814"/>
      <c r="E112" s="814"/>
      <c r="F112" s="814"/>
      <c r="G112" s="134"/>
      <c r="H112" s="45"/>
      <c r="I112" s="45"/>
      <c r="J112" s="1"/>
    </row>
    <row r="113" spans="1:10" s="8" customFormat="1" ht="30" customHeight="1">
      <c r="A113" s="615" t="s">
        <v>999</v>
      </c>
      <c r="B113" s="631" t="s">
        <v>633</v>
      </c>
      <c r="C113" s="142" t="s">
        <v>634</v>
      </c>
      <c r="D113" s="109" t="s">
        <v>199</v>
      </c>
      <c r="E113" s="110" t="s">
        <v>34</v>
      </c>
      <c r="F113" s="110">
        <f>SUM(E114:E114)</f>
        <v>146.5</v>
      </c>
      <c r="G113" s="134"/>
      <c r="H113" s="45"/>
      <c r="I113" s="45"/>
      <c r="J113" s="1"/>
    </row>
    <row r="114" spans="1:11" s="8" customFormat="1" ht="51.75" customHeight="1">
      <c r="A114" s="615"/>
      <c r="B114" s="632"/>
      <c r="C114" s="138" t="s">
        <v>870</v>
      </c>
      <c r="D114" s="111" t="s">
        <v>200</v>
      </c>
      <c r="E114" s="107">
        <v>146.5</v>
      </c>
      <c r="F114" s="110" t="s">
        <v>34</v>
      </c>
      <c r="G114" s="134"/>
      <c r="H114" s="45"/>
      <c r="I114" s="45"/>
      <c r="J114" s="1"/>
      <c r="K114" s="1" t="s">
        <v>863</v>
      </c>
    </row>
    <row r="115" spans="1:9" s="8" customFormat="1" ht="29.25" customHeight="1" hidden="1">
      <c r="A115" s="615">
        <v>33</v>
      </c>
      <c r="B115" s="631" t="s">
        <v>628</v>
      </c>
      <c r="C115" s="142" t="s">
        <v>629</v>
      </c>
      <c r="D115" s="109" t="s">
        <v>199</v>
      </c>
      <c r="E115" s="110" t="s">
        <v>34</v>
      </c>
      <c r="F115" s="110">
        <f>SUM(E116:E116)</f>
        <v>203.2</v>
      </c>
      <c r="G115" s="140"/>
      <c r="H115" s="801"/>
      <c r="I115" s="801"/>
    </row>
    <row r="116" spans="1:11" s="8" customFormat="1" ht="47.25" customHeight="1" hidden="1">
      <c r="A116" s="615"/>
      <c r="B116" s="632"/>
      <c r="C116" s="138" t="s">
        <v>630</v>
      </c>
      <c r="D116" s="111" t="s">
        <v>200</v>
      </c>
      <c r="E116" s="107">
        <f>114+89.2</f>
        <v>203.2</v>
      </c>
      <c r="F116" s="110" t="s">
        <v>34</v>
      </c>
      <c r="G116" s="140"/>
      <c r="H116" s="683"/>
      <c r="I116" s="683"/>
      <c r="K116" s="1"/>
    </row>
    <row r="117" spans="1:11" s="8" customFormat="1" ht="21" customHeight="1">
      <c r="A117" s="611" t="s">
        <v>34</v>
      </c>
      <c r="B117" s="611" t="s">
        <v>188</v>
      </c>
      <c r="C117" s="814" t="s">
        <v>631</v>
      </c>
      <c r="D117" s="814"/>
      <c r="E117" s="814"/>
      <c r="F117" s="814"/>
      <c r="G117" s="140"/>
      <c r="H117" s="683"/>
      <c r="I117" s="683"/>
      <c r="K117" s="1"/>
    </row>
    <row r="118" spans="1:11" s="8" customFormat="1" ht="30.75" customHeight="1">
      <c r="A118" s="615" t="s">
        <v>1000</v>
      </c>
      <c r="B118" s="631" t="s">
        <v>267</v>
      </c>
      <c r="C118" s="142" t="s">
        <v>632</v>
      </c>
      <c r="D118" s="109" t="s">
        <v>199</v>
      </c>
      <c r="E118" s="110" t="s">
        <v>34</v>
      </c>
      <c r="F118" s="110">
        <f>SUM(E119:E119)</f>
        <v>45</v>
      </c>
      <c r="G118" s="140"/>
      <c r="H118" s="683"/>
      <c r="I118" s="683"/>
      <c r="K118" s="1"/>
    </row>
    <row r="119" spans="1:11" s="8" customFormat="1" ht="69" customHeight="1">
      <c r="A119" s="615"/>
      <c r="B119" s="632"/>
      <c r="C119" s="138" t="s">
        <v>891</v>
      </c>
      <c r="D119" s="111" t="s">
        <v>200</v>
      </c>
      <c r="E119" s="107">
        <f>25+20</f>
        <v>45</v>
      </c>
      <c r="F119" s="110" t="s">
        <v>34</v>
      </c>
      <c r="G119" s="140"/>
      <c r="H119" s="683"/>
      <c r="I119" s="683"/>
      <c r="K119" s="1" t="s">
        <v>863</v>
      </c>
    </row>
    <row r="120" spans="1:9" s="8" customFormat="1" ht="29.25" customHeight="1" hidden="1">
      <c r="A120" s="618">
        <v>35</v>
      </c>
      <c r="B120" s="633" t="s">
        <v>635</v>
      </c>
      <c r="C120" s="453" t="s">
        <v>636</v>
      </c>
      <c r="D120" s="396" t="s">
        <v>714</v>
      </c>
      <c r="E120" s="211" t="s">
        <v>34</v>
      </c>
      <c r="F120" s="211">
        <f>SUM(E121:E121)</f>
        <v>489.64</v>
      </c>
      <c r="G120" s="134"/>
      <c r="H120" s="43"/>
      <c r="I120" s="43"/>
    </row>
    <row r="121" spans="1:13" s="8" customFormat="1" ht="80.25" customHeight="1" hidden="1">
      <c r="A121" s="618"/>
      <c r="B121" s="634"/>
      <c r="C121" s="455" t="s">
        <v>637</v>
      </c>
      <c r="D121" s="456" t="s">
        <v>715</v>
      </c>
      <c r="E121" s="457">
        <f>135.91+85.51+(114+89.2)*1.32</f>
        <v>489.64</v>
      </c>
      <c r="F121" s="211" t="s">
        <v>34</v>
      </c>
      <c r="G121" s="134"/>
      <c r="H121" s="43"/>
      <c r="I121" s="43"/>
      <c r="K121" s="419" t="s">
        <v>620</v>
      </c>
      <c r="L121" s="8">
        <f>135.91+85.51</f>
        <v>221.42</v>
      </c>
      <c r="M121" s="8">
        <f>(114+89.2)*1.32</f>
        <v>268.224</v>
      </c>
    </row>
    <row r="122" spans="1:9" s="8" customFormat="1" ht="27.75" customHeight="1">
      <c r="A122" s="610" t="s">
        <v>65</v>
      </c>
      <c r="B122" s="610" t="s">
        <v>63</v>
      </c>
      <c r="C122" s="848" t="s">
        <v>205</v>
      </c>
      <c r="D122" s="848"/>
      <c r="E122" s="848"/>
      <c r="F122" s="848"/>
      <c r="G122" s="134"/>
      <c r="H122" s="45"/>
      <c r="I122" s="45"/>
    </row>
    <row r="123" spans="1:9" s="8" customFormat="1" ht="18" customHeight="1" hidden="1">
      <c r="A123" s="611" t="s">
        <v>34</v>
      </c>
      <c r="B123" s="611" t="s">
        <v>128</v>
      </c>
      <c r="C123" s="814" t="s">
        <v>142</v>
      </c>
      <c r="D123" s="814" t="s">
        <v>8</v>
      </c>
      <c r="E123" s="814"/>
      <c r="F123" s="814"/>
      <c r="G123" s="134"/>
      <c r="H123" s="45"/>
      <c r="I123" s="45"/>
    </row>
    <row r="124" spans="1:9" s="8" customFormat="1" ht="20.25" customHeight="1" hidden="1">
      <c r="A124" s="615">
        <v>36</v>
      </c>
      <c r="B124" s="615" t="s">
        <v>272</v>
      </c>
      <c r="C124" s="139" t="s">
        <v>271</v>
      </c>
      <c r="D124" s="109" t="s">
        <v>199</v>
      </c>
      <c r="E124" s="110" t="s">
        <v>34</v>
      </c>
      <c r="F124" s="100">
        <f>SUM(E125:E125)</f>
        <v>42.07</v>
      </c>
      <c r="G124" s="134"/>
      <c r="H124" s="45"/>
      <c r="I124" s="45"/>
    </row>
    <row r="125" spans="1:9" s="8" customFormat="1" ht="81" customHeight="1" hidden="1">
      <c r="A125" s="614"/>
      <c r="B125" s="632"/>
      <c r="C125" s="138" t="s">
        <v>722</v>
      </c>
      <c r="D125" s="111" t="s">
        <v>200</v>
      </c>
      <c r="E125" s="107">
        <v>42.07</v>
      </c>
      <c r="F125" s="107" t="s">
        <v>34</v>
      </c>
      <c r="G125" s="134"/>
      <c r="H125" s="45"/>
      <c r="I125" s="45"/>
    </row>
    <row r="126" spans="1:103" s="20" customFormat="1" ht="18.75" customHeight="1">
      <c r="A126" s="611" t="s">
        <v>34</v>
      </c>
      <c r="B126" s="611" t="s">
        <v>21</v>
      </c>
      <c r="C126" s="814" t="s">
        <v>22</v>
      </c>
      <c r="D126" s="814" t="s">
        <v>8</v>
      </c>
      <c r="E126" s="814"/>
      <c r="F126" s="814"/>
      <c r="G126" s="204"/>
      <c r="H126" s="849"/>
      <c r="I126" s="849"/>
      <c r="J126" s="8"/>
      <c r="K126" s="8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 s="79"/>
    </row>
    <row r="127" spans="1:103" s="20" customFormat="1" ht="20.25" customHeight="1" hidden="1">
      <c r="A127" s="615">
        <v>36</v>
      </c>
      <c r="B127" s="631" t="s">
        <v>286</v>
      </c>
      <c r="C127" s="139" t="s">
        <v>638</v>
      </c>
      <c r="D127" s="109" t="s">
        <v>199</v>
      </c>
      <c r="E127" s="110" t="s">
        <v>34</v>
      </c>
      <c r="F127" s="100">
        <f>SUM(E128:E128)</f>
        <v>203.2</v>
      </c>
      <c r="G127" s="204"/>
      <c r="H127" s="685"/>
      <c r="I127" s="685"/>
      <c r="J127" s="8"/>
      <c r="K127" s="8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</row>
    <row r="128" spans="1:103" s="20" customFormat="1" ht="51" customHeight="1" hidden="1">
      <c r="A128" s="614"/>
      <c r="B128" s="632"/>
      <c r="C128" s="138" t="s">
        <v>639</v>
      </c>
      <c r="D128" s="111" t="s">
        <v>200</v>
      </c>
      <c r="E128" s="107">
        <f>114+89.2</f>
        <v>203.2</v>
      </c>
      <c r="F128" s="107" t="s">
        <v>34</v>
      </c>
      <c r="G128" s="204"/>
      <c r="H128" s="685"/>
      <c r="I128" s="685"/>
      <c r="J128" s="8"/>
      <c r="K128" s="419" t="s">
        <v>640</v>
      </c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</row>
    <row r="129" spans="1:103" s="276" customFormat="1" ht="30.75" customHeight="1" hidden="1">
      <c r="A129" s="615">
        <v>13</v>
      </c>
      <c r="B129" s="631" t="s">
        <v>286</v>
      </c>
      <c r="C129" s="139" t="s">
        <v>719</v>
      </c>
      <c r="D129" s="109" t="s">
        <v>199</v>
      </c>
      <c r="E129" s="211" t="s">
        <v>34</v>
      </c>
      <c r="F129" s="564">
        <f>SUM(E130:E130)</f>
        <v>30</v>
      </c>
      <c r="G129" s="495"/>
      <c r="H129" s="801"/>
      <c r="I129" s="801"/>
      <c r="J129" s="8"/>
      <c r="K129" s="79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0"/>
      <c r="CQ129" s="80"/>
      <c r="CR129" s="80"/>
      <c r="CS129" s="80"/>
      <c r="CT129" s="80"/>
      <c r="CU129" s="80"/>
      <c r="CV129" s="80"/>
      <c r="CW129" s="80"/>
      <c r="CX129" s="80"/>
      <c r="CY129" s="80"/>
    </row>
    <row r="130" spans="1:103" s="276" customFormat="1" ht="55.5" customHeight="1" hidden="1">
      <c r="A130" s="614"/>
      <c r="B130" s="632"/>
      <c r="C130" s="138" t="s">
        <v>857</v>
      </c>
      <c r="D130" s="111" t="s">
        <v>200</v>
      </c>
      <c r="E130" s="457">
        <f>15+15</f>
        <v>30</v>
      </c>
      <c r="F130" s="457" t="s">
        <v>34</v>
      </c>
      <c r="G130" s="495"/>
      <c r="H130" s="43">
        <v>24.73</v>
      </c>
      <c r="I130" s="43">
        <f>H130*F129</f>
        <v>741.9</v>
      </c>
      <c r="J130" s="8"/>
      <c r="K130" s="427" t="s">
        <v>858</v>
      </c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</row>
    <row r="131" spans="1:103" s="276" customFormat="1" ht="30.75" customHeight="1">
      <c r="A131" s="615" t="s">
        <v>1001</v>
      </c>
      <c r="B131" s="615" t="s">
        <v>970</v>
      </c>
      <c r="C131" s="139" t="s">
        <v>275</v>
      </c>
      <c r="D131" s="109" t="s">
        <v>199</v>
      </c>
      <c r="E131" s="110" t="s">
        <v>34</v>
      </c>
      <c r="F131" s="100">
        <f>SUM(E132:E132)</f>
        <v>43.7</v>
      </c>
      <c r="G131" s="495"/>
      <c r="H131" s="43"/>
      <c r="I131" s="43"/>
      <c r="J131" s="8"/>
      <c r="K131" s="79" t="s">
        <v>863</v>
      </c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80"/>
    </row>
    <row r="132" spans="1:103" s="276" customFormat="1" ht="57.75" customHeight="1">
      <c r="A132" s="614"/>
      <c r="B132" s="632"/>
      <c r="C132" s="138" t="s">
        <v>969</v>
      </c>
      <c r="D132" s="111" t="s">
        <v>200</v>
      </c>
      <c r="E132" s="107">
        <v>43.7</v>
      </c>
      <c r="F132" s="107" t="s">
        <v>34</v>
      </c>
      <c r="G132" s="495"/>
      <c r="H132" s="43"/>
      <c r="I132" s="43"/>
      <c r="J132" s="8"/>
      <c r="K132" s="1"/>
      <c r="L132" s="79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80"/>
    </row>
    <row r="133" spans="1:103" s="20" customFormat="1" ht="22.5" customHeight="1" hidden="1">
      <c r="A133" s="615">
        <v>38</v>
      </c>
      <c r="B133" s="615" t="s">
        <v>287</v>
      </c>
      <c r="C133" s="139" t="s">
        <v>276</v>
      </c>
      <c r="D133" s="109" t="s">
        <v>199</v>
      </c>
      <c r="E133" s="110" t="s">
        <v>34</v>
      </c>
      <c r="F133" s="100">
        <f>SUM(E134:E134)</f>
        <v>197.75</v>
      </c>
      <c r="G133" s="204"/>
      <c r="H133" s="46"/>
      <c r="I133" s="46"/>
      <c r="J133" s="8"/>
      <c r="K133" s="80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  <c r="BY133" s="79"/>
      <c r="BZ133" s="79"/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79"/>
      <c r="CY133" s="79"/>
    </row>
    <row r="134" spans="1:103" s="20" customFormat="1" ht="45" customHeight="1" hidden="1">
      <c r="A134" s="614"/>
      <c r="B134" s="632"/>
      <c r="C134" s="138" t="s">
        <v>641</v>
      </c>
      <c r="D134" s="111" t="s">
        <v>200</v>
      </c>
      <c r="E134" s="107">
        <f>121.4+76.35</f>
        <v>197.75</v>
      </c>
      <c r="F134" s="107" t="s">
        <v>34</v>
      </c>
      <c r="G134" s="204"/>
      <c r="H134" s="46"/>
      <c r="I134" s="46"/>
      <c r="J134" s="8"/>
      <c r="K134" s="419" t="s">
        <v>620</v>
      </c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/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9"/>
      <c r="CQ134" s="79"/>
      <c r="CR134" s="79"/>
      <c r="CS134" s="79"/>
      <c r="CT134" s="79"/>
      <c r="CU134" s="79"/>
      <c r="CV134" s="79"/>
      <c r="CW134" s="79"/>
      <c r="CX134" s="79"/>
      <c r="CY134" s="79"/>
    </row>
    <row r="135" spans="1:103" s="20" customFormat="1" ht="17.25" customHeight="1" hidden="1">
      <c r="A135" s="619" t="s">
        <v>34</v>
      </c>
      <c r="B135" s="619" t="s">
        <v>455</v>
      </c>
      <c r="C135" s="851" t="s">
        <v>456</v>
      </c>
      <c r="D135" s="851" t="s">
        <v>8</v>
      </c>
      <c r="E135" s="851"/>
      <c r="F135" s="851"/>
      <c r="G135" s="204"/>
      <c r="H135" s="46"/>
      <c r="I135" s="46"/>
      <c r="J135" s="8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/>
      <c r="CA135" s="79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79"/>
      <c r="CY135" s="79"/>
    </row>
    <row r="136" spans="1:103" s="20" customFormat="1" ht="33.75" customHeight="1" hidden="1">
      <c r="A136" s="618">
        <v>15</v>
      </c>
      <c r="B136" s="618" t="s">
        <v>457</v>
      </c>
      <c r="C136" s="563" t="s">
        <v>458</v>
      </c>
      <c r="D136" s="396" t="s">
        <v>855</v>
      </c>
      <c r="E136" s="211" t="s">
        <v>34</v>
      </c>
      <c r="F136" s="211">
        <f>E137</f>
        <v>44</v>
      </c>
      <c r="G136" s="204"/>
      <c r="H136" s="46"/>
      <c r="I136" s="46"/>
      <c r="J136" s="8"/>
      <c r="K136" s="423" t="s">
        <v>859</v>
      </c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/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 s="79"/>
    </row>
    <row r="137" spans="1:103" s="20" customFormat="1" ht="46.5" customHeight="1" hidden="1">
      <c r="A137" s="620"/>
      <c r="B137" s="634"/>
      <c r="C137" s="455" t="s">
        <v>792</v>
      </c>
      <c r="D137" s="456" t="s">
        <v>856</v>
      </c>
      <c r="E137" s="457">
        <v>44</v>
      </c>
      <c r="F137" s="457" t="s">
        <v>34</v>
      </c>
      <c r="G137" s="204"/>
      <c r="H137" s="46"/>
      <c r="I137" s="46"/>
      <c r="J137" s="8"/>
      <c r="K137" s="41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9"/>
      <c r="CQ137" s="79"/>
      <c r="CR137" s="79"/>
      <c r="CS137" s="79"/>
      <c r="CT137" s="79"/>
      <c r="CU137" s="79"/>
      <c r="CV137" s="79"/>
      <c r="CW137" s="79"/>
      <c r="CX137" s="79"/>
      <c r="CY137" s="79"/>
    </row>
    <row r="138" spans="1:103" s="51" customFormat="1" ht="26.25">
      <c r="A138" s="610" t="s">
        <v>67</v>
      </c>
      <c r="B138" s="610" t="s">
        <v>64</v>
      </c>
      <c r="C138" s="848" t="s">
        <v>206</v>
      </c>
      <c r="D138" s="848" t="s">
        <v>8</v>
      </c>
      <c r="E138" s="848"/>
      <c r="F138" s="848"/>
      <c r="G138" s="495"/>
      <c r="H138" s="46"/>
      <c r="I138" s="46"/>
      <c r="J138" s="19"/>
      <c r="K138" s="79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0"/>
      <c r="CW138" s="80"/>
      <c r="CX138" s="80"/>
      <c r="CY138" s="80"/>
    </row>
    <row r="139" spans="1:11" s="8" customFormat="1" ht="19.5" customHeight="1">
      <c r="A139" s="611" t="s">
        <v>34</v>
      </c>
      <c r="B139" s="611" t="s">
        <v>23</v>
      </c>
      <c r="C139" s="814" t="s">
        <v>190</v>
      </c>
      <c r="D139" s="814" t="s">
        <v>8</v>
      </c>
      <c r="E139" s="814"/>
      <c r="F139" s="814"/>
      <c r="G139" s="144"/>
      <c r="H139" s="849"/>
      <c r="I139" s="849"/>
      <c r="J139" s="50"/>
      <c r="K139" s="80"/>
    </row>
    <row r="140" spans="1:11" s="11" customFormat="1" ht="15.75" customHeight="1">
      <c r="A140" s="615" t="s">
        <v>1002</v>
      </c>
      <c r="B140" s="631" t="s">
        <v>0</v>
      </c>
      <c r="C140" s="139" t="s">
        <v>79</v>
      </c>
      <c r="D140" s="109" t="s">
        <v>199</v>
      </c>
      <c r="E140" s="110" t="s">
        <v>34</v>
      </c>
      <c r="F140" s="110">
        <f>E141</f>
        <v>252</v>
      </c>
      <c r="G140" s="143"/>
      <c r="H140" s="801"/>
      <c r="I140" s="801"/>
      <c r="J140" s="50"/>
      <c r="K140" s="8"/>
    </row>
    <row r="141" spans="1:13" s="8" customFormat="1" ht="57" customHeight="1">
      <c r="A141" s="615"/>
      <c r="B141" s="631"/>
      <c r="C141" s="138" t="s">
        <v>894</v>
      </c>
      <c r="D141" s="111" t="s">
        <v>200</v>
      </c>
      <c r="E141" s="107">
        <f>2.8*90</f>
        <v>252</v>
      </c>
      <c r="F141" s="107" t="s">
        <v>34</v>
      </c>
      <c r="G141" s="144"/>
      <c r="H141" s="43">
        <v>14.94</v>
      </c>
      <c r="I141" s="43">
        <f>H141*F140</f>
        <v>3764.88</v>
      </c>
      <c r="J141" s="19"/>
      <c r="K141" s="11" t="s">
        <v>863</v>
      </c>
      <c r="L141" s="129"/>
      <c r="M141" s="129"/>
    </row>
    <row r="142" spans="1:10" s="8" customFormat="1" ht="46.5" customHeight="1">
      <c r="A142" s="614" t="s">
        <v>611</v>
      </c>
      <c r="B142" s="632" t="s">
        <v>0</v>
      </c>
      <c r="C142" s="138" t="s">
        <v>895</v>
      </c>
      <c r="D142" s="111" t="s">
        <v>200</v>
      </c>
      <c r="E142" s="107">
        <v>252</v>
      </c>
      <c r="F142" s="107">
        <f>E142</f>
        <v>252</v>
      </c>
      <c r="G142" s="144"/>
      <c r="H142" s="43"/>
      <c r="I142" s="43"/>
      <c r="J142" s="50"/>
    </row>
    <row r="143" spans="1:10" s="8" customFormat="1" ht="18.75" customHeight="1" hidden="1">
      <c r="A143" s="615">
        <v>44</v>
      </c>
      <c r="B143" s="615" t="s">
        <v>130</v>
      </c>
      <c r="C143" s="139" t="s">
        <v>191</v>
      </c>
      <c r="D143" s="109" t="s">
        <v>199</v>
      </c>
      <c r="E143" s="110" t="s">
        <v>34</v>
      </c>
      <c r="F143" s="110">
        <f>E144</f>
        <v>0</v>
      </c>
      <c r="G143" s="144"/>
      <c r="H143" s="43"/>
      <c r="I143" s="43"/>
      <c r="J143" s="50"/>
    </row>
    <row r="144" spans="1:9" s="8" customFormat="1" ht="80.25" customHeight="1" hidden="1">
      <c r="A144" s="614"/>
      <c r="B144" s="632"/>
      <c r="C144" s="138" t="s">
        <v>493</v>
      </c>
      <c r="D144" s="111" t="s">
        <v>200</v>
      </c>
      <c r="E144" s="107">
        <v>0</v>
      </c>
      <c r="F144" s="107" t="s">
        <v>34</v>
      </c>
      <c r="G144" s="144"/>
      <c r="H144" s="43"/>
      <c r="I144" s="43"/>
    </row>
    <row r="145" spans="1:9" s="8" customFormat="1" ht="20.25" customHeight="1">
      <c r="A145" s="621" t="s">
        <v>1003</v>
      </c>
      <c r="B145" s="621" t="s">
        <v>866</v>
      </c>
      <c r="C145" s="576" t="s">
        <v>867</v>
      </c>
      <c r="D145" s="577" t="s">
        <v>199</v>
      </c>
      <c r="E145" s="578" t="s">
        <v>34</v>
      </c>
      <c r="F145" s="578">
        <f>E146</f>
        <v>13.65</v>
      </c>
      <c r="G145" s="144"/>
      <c r="H145" s="43"/>
      <c r="I145" s="43"/>
    </row>
    <row r="146" spans="1:11" s="8" customFormat="1" ht="48" customHeight="1">
      <c r="A146" s="690"/>
      <c r="B146" s="635"/>
      <c r="C146" s="579" t="s">
        <v>896</v>
      </c>
      <c r="D146" s="580" t="s">
        <v>200</v>
      </c>
      <c r="E146" s="581">
        <v>13.65</v>
      </c>
      <c r="F146" s="581" t="s">
        <v>34</v>
      </c>
      <c r="G146" s="144"/>
      <c r="H146" s="43"/>
      <c r="I146" s="43"/>
      <c r="K146" s="11" t="s">
        <v>863</v>
      </c>
    </row>
    <row r="147" spans="1:9" s="8" customFormat="1" ht="18.75" customHeight="1" hidden="1">
      <c r="A147" s="611" t="s">
        <v>34</v>
      </c>
      <c r="B147" s="611" t="s">
        <v>645</v>
      </c>
      <c r="C147" s="814" t="s">
        <v>644</v>
      </c>
      <c r="D147" s="814" t="s">
        <v>8</v>
      </c>
      <c r="E147" s="814"/>
      <c r="F147" s="814"/>
      <c r="G147" s="144"/>
      <c r="H147" s="43"/>
      <c r="I147" s="43"/>
    </row>
    <row r="148" spans="1:9" s="8" customFormat="1" ht="21" customHeight="1" hidden="1">
      <c r="A148" s="615">
        <v>42</v>
      </c>
      <c r="B148" s="631" t="s">
        <v>221</v>
      </c>
      <c r="C148" s="139" t="s">
        <v>647</v>
      </c>
      <c r="D148" s="109" t="s">
        <v>199</v>
      </c>
      <c r="E148" s="211" t="s">
        <v>34</v>
      </c>
      <c r="F148" s="211">
        <f>E149</f>
        <v>45.4</v>
      </c>
      <c r="G148" s="144"/>
      <c r="H148" s="43"/>
      <c r="I148" s="43"/>
    </row>
    <row r="149" spans="1:9" s="8" customFormat="1" ht="42.75" customHeight="1" hidden="1">
      <c r="A149" s="615"/>
      <c r="B149" s="631"/>
      <c r="C149" s="138" t="s">
        <v>648</v>
      </c>
      <c r="D149" s="111" t="s">
        <v>200</v>
      </c>
      <c r="E149" s="457">
        <f>25.9+19.5</f>
        <v>45.4</v>
      </c>
      <c r="F149" s="457" t="s">
        <v>34</v>
      </c>
      <c r="G149" s="144"/>
      <c r="H149" s="43"/>
      <c r="I149" s="43"/>
    </row>
    <row r="150" spans="1:10" s="11" customFormat="1" ht="21" customHeight="1">
      <c r="A150" s="611" t="s">
        <v>34</v>
      </c>
      <c r="B150" s="611" t="s">
        <v>974</v>
      </c>
      <c r="C150" s="814" t="s">
        <v>975</v>
      </c>
      <c r="D150" s="814" t="s">
        <v>8</v>
      </c>
      <c r="E150" s="814"/>
      <c r="F150" s="814"/>
      <c r="G150" s="145"/>
      <c r="H150" s="45"/>
      <c r="I150" s="45"/>
      <c r="J150" s="8"/>
    </row>
    <row r="151" spans="1:10" s="11" customFormat="1" ht="15" customHeight="1">
      <c r="A151" s="621" t="s">
        <v>1004</v>
      </c>
      <c r="B151" s="621" t="s">
        <v>976</v>
      </c>
      <c r="C151" s="576" t="s">
        <v>983</v>
      </c>
      <c r="D151" s="577" t="s">
        <v>11</v>
      </c>
      <c r="E151" s="578" t="s">
        <v>34</v>
      </c>
      <c r="F151" s="578">
        <f>E152</f>
        <v>18</v>
      </c>
      <c r="G151" s="145"/>
      <c r="H151" s="45"/>
      <c r="I151" s="45"/>
      <c r="J151" s="8"/>
    </row>
    <row r="152" spans="1:10" s="11" customFormat="1" ht="36.75" customHeight="1">
      <c r="A152" s="690"/>
      <c r="B152" s="635"/>
      <c r="C152" s="579" t="s">
        <v>985</v>
      </c>
      <c r="D152" s="580" t="s">
        <v>11</v>
      </c>
      <c r="E152" s="581">
        <v>18</v>
      </c>
      <c r="F152" s="581" t="s">
        <v>34</v>
      </c>
      <c r="G152" s="145"/>
      <c r="H152" s="45"/>
      <c r="I152" s="45"/>
      <c r="J152" s="8"/>
    </row>
    <row r="153" spans="1:10" s="11" customFormat="1" ht="12.75">
      <c r="A153" s="911"/>
      <c r="B153" s="910"/>
      <c r="C153" s="691" t="s">
        <v>977</v>
      </c>
      <c r="D153" s="580"/>
      <c r="E153" s="581"/>
      <c r="F153" s="581"/>
      <c r="G153" s="145"/>
      <c r="H153" s="45"/>
      <c r="I153" s="45"/>
      <c r="J153" s="8"/>
    </row>
    <row r="154" spans="1:10" s="11" customFormat="1" ht="15">
      <c r="A154" s="911"/>
      <c r="B154" s="910"/>
      <c r="C154" s="691" t="s">
        <v>978</v>
      </c>
      <c r="D154" s="694" t="s">
        <v>300</v>
      </c>
      <c r="E154" s="695">
        <f>1.2*0.3*1</f>
        <v>0.36</v>
      </c>
      <c r="F154" s="695">
        <f>E154</f>
        <v>0.36</v>
      </c>
      <c r="G154" s="145"/>
      <c r="H154" s="45"/>
      <c r="I154" s="45"/>
      <c r="J154" s="8"/>
    </row>
    <row r="155" spans="1:10" s="11" customFormat="1" ht="26.25">
      <c r="A155" s="911"/>
      <c r="B155" s="910"/>
      <c r="C155" s="691" t="s">
        <v>979</v>
      </c>
      <c r="D155" s="694" t="s">
        <v>300</v>
      </c>
      <c r="E155" s="695">
        <f>1.2*0.2*1</f>
        <v>0.24</v>
      </c>
      <c r="F155" s="695">
        <f>E155</f>
        <v>0.24</v>
      </c>
      <c r="G155" s="145"/>
      <c r="H155" s="45"/>
      <c r="I155" s="45"/>
      <c r="J155" s="8"/>
    </row>
    <row r="156" spans="1:10" s="11" customFormat="1" ht="26.25">
      <c r="A156" s="911"/>
      <c r="B156" s="910"/>
      <c r="C156" s="691" t="s">
        <v>984</v>
      </c>
      <c r="D156" s="694" t="s">
        <v>300</v>
      </c>
      <c r="E156" s="695">
        <f>(1*1.2-(3.14*0.25*0.25))</f>
        <v>1</v>
      </c>
      <c r="F156" s="695">
        <f>E156</f>
        <v>1</v>
      </c>
      <c r="G156" s="145"/>
      <c r="H156" s="45"/>
      <c r="I156" s="45"/>
      <c r="J156" s="8"/>
    </row>
    <row r="157" spans="1:10" s="11" customFormat="1" ht="57.75" customHeight="1" hidden="1">
      <c r="A157" s="615"/>
      <c r="B157" s="631"/>
      <c r="C157" s="138"/>
      <c r="D157" s="111"/>
      <c r="E157" s="107"/>
      <c r="F157" s="107"/>
      <c r="G157" s="145"/>
      <c r="H157" s="45"/>
      <c r="I157" s="45"/>
      <c r="J157" s="8"/>
    </row>
    <row r="158" spans="1:10" s="11" customFormat="1" ht="19.5" customHeight="1">
      <c r="A158" s="613" t="s">
        <v>1005</v>
      </c>
      <c r="B158" s="608" t="s">
        <v>986</v>
      </c>
      <c r="C158" s="136" t="s">
        <v>987</v>
      </c>
      <c r="D158" s="577" t="s">
        <v>9</v>
      </c>
      <c r="E158" s="578" t="s">
        <v>34</v>
      </c>
      <c r="F158" s="578">
        <f>E159</f>
        <v>4</v>
      </c>
      <c r="G158" s="145"/>
      <c r="H158" s="45"/>
      <c r="I158" s="45"/>
      <c r="J158" s="8"/>
    </row>
    <row r="159" spans="1:10" s="11" customFormat="1" ht="78.75">
      <c r="A159" s="613"/>
      <c r="B159" s="623"/>
      <c r="C159" s="137" t="s">
        <v>988</v>
      </c>
      <c r="D159" s="104" t="s">
        <v>9</v>
      </c>
      <c r="E159" s="105">
        <v>4</v>
      </c>
      <c r="F159" s="105" t="s">
        <v>34</v>
      </c>
      <c r="G159" s="145"/>
      <c r="H159" s="45"/>
      <c r="I159" s="45"/>
      <c r="J159" s="8"/>
    </row>
    <row r="160" spans="1:10" s="11" customFormat="1" ht="57.75" customHeight="1" hidden="1">
      <c r="A160" s="615"/>
      <c r="B160" s="631"/>
      <c r="C160" s="138"/>
      <c r="D160" s="111"/>
      <c r="E160" s="107"/>
      <c r="F160" s="107"/>
      <c r="G160" s="145"/>
      <c r="H160" s="45"/>
      <c r="I160" s="45"/>
      <c r="J160" s="8"/>
    </row>
    <row r="161" spans="1:10" s="11" customFormat="1" ht="12.75">
      <c r="A161" s="611" t="s">
        <v>34</v>
      </c>
      <c r="B161" s="611" t="s">
        <v>219</v>
      </c>
      <c r="C161" s="814" t="s">
        <v>220</v>
      </c>
      <c r="D161" s="814" t="s">
        <v>8</v>
      </c>
      <c r="E161" s="814"/>
      <c r="F161" s="814"/>
      <c r="G161" s="145"/>
      <c r="H161" s="45"/>
      <c r="I161" s="45"/>
      <c r="J161" s="8"/>
    </row>
    <row r="162" spans="1:10" s="11" customFormat="1" ht="19.5" customHeight="1">
      <c r="A162" s="615" t="s">
        <v>1006</v>
      </c>
      <c r="B162" s="631" t="s">
        <v>1092</v>
      </c>
      <c r="C162" s="139" t="s">
        <v>723</v>
      </c>
      <c r="D162" s="109" t="s">
        <v>11</v>
      </c>
      <c r="E162" s="110" t="s">
        <v>34</v>
      </c>
      <c r="F162" s="110">
        <f>E163</f>
        <v>34</v>
      </c>
      <c r="G162" s="145"/>
      <c r="H162" s="45"/>
      <c r="I162" s="45"/>
      <c r="J162" s="8"/>
    </row>
    <row r="163" spans="1:10" s="11" customFormat="1" ht="51" customHeight="1">
      <c r="A163" s="615"/>
      <c r="B163" s="631"/>
      <c r="C163" s="138" t="s">
        <v>860</v>
      </c>
      <c r="D163" s="111" t="s">
        <v>11</v>
      </c>
      <c r="E163" s="107">
        <v>34</v>
      </c>
      <c r="F163" s="107" t="s">
        <v>34</v>
      </c>
      <c r="G163" s="145"/>
      <c r="H163" s="45"/>
      <c r="I163" s="45"/>
      <c r="J163" s="8"/>
    </row>
    <row r="164" spans="1:10" s="11" customFormat="1" ht="25.5" customHeight="1">
      <c r="A164" s="611" t="s">
        <v>34</v>
      </c>
      <c r="B164" s="611" t="s">
        <v>897</v>
      </c>
      <c r="C164" s="814" t="s">
        <v>898</v>
      </c>
      <c r="D164" s="814"/>
      <c r="E164" s="814"/>
      <c r="F164" s="814"/>
      <c r="G164" s="145"/>
      <c r="H164" s="45"/>
      <c r="I164" s="45"/>
      <c r="J164" s="8"/>
    </row>
    <row r="165" spans="1:10" s="11" customFormat="1" ht="24.75" customHeight="1">
      <c r="A165" s="621" t="s">
        <v>1007</v>
      </c>
      <c r="B165" s="621" t="s">
        <v>899</v>
      </c>
      <c r="C165" s="576" t="s">
        <v>900</v>
      </c>
      <c r="D165" s="577" t="s">
        <v>199</v>
      </c>
      <c r="E165" s="578" t="s">
        <v>34</v>
      </c>
      <c r="F165" s="578">
        <v>69.5</v>
      </c>
      <c r="G165" s="145"/>
      <c r="H165" s="45"/>
      <c r="I165" s="45"/>
      <c r="J165" s="8"/>
    </row>
    <row r="166" spans="1:10" s="11" customFormat="1" ht="37.5" customHeight="1">
      <c r="A166" s="697"/>
      <c r="B166" s="636"/>
      <c r="C166" s="579" t="s">
        <v>947</v>
      </c>
      <c r="D166" s="580" t="s">
        <v>200</v>
      </c>
      <c r="E166" s="581">
        <v>69.5</v>
      </c>
      <c r="F166" s="581" t="s">
        <v>34</v>
      </c>
      <c r="G166" s="145"/>
      <c r="H166" s="45"/>
      <c r="I166" s="45"/>
      <c r="J166" s="8"/>
    </row>
    <row r="167" spans="1:10" s="11" customFormat="1" ht="43.5" customHeight="1">
      <c r="A167" s="610" t="s">
        <v>101</v>
      </c>
      <c r="B167" s="610" t="s">
        <v>66</v>
      </c>
      <c r="C167" s="684" t="s">
        <v>207</v>
      </c>
      <c r="D167" s="684" t="s">
        <v>8</v>
      </c>
      <c r="E167" s="684"/>
      <c r="F167" s="684"/>
      <c r="G167" s="145"/>
      <c r="H167" s="45"/>
      <c r="I167" s="45"/>
      <c r="J167" s="8"/>
    </row>
    <row r="168" spans="1:10" s="11" customFormat="1" ht="18" customHeight="1" hidden="1">
      <c r="A168" s="611" t="s">
        <v>34</v>
      </c>
      <c r="B168" s="611" t="s">
        <v>132</v>
      </c>
      <c r="C168" s="814" t="s">
        <v>131</v>
      </c>
      <c r="D168" s="814" t="s">
        <v>8</v>
      </c>
      <c r="E168" s="814"/>
      <c r="F168" s="814"/>
      <c r="G168" s="145"/>
      <c r="H168" s="45"/>
      <c r="I168" s="45"/>
      <c r="J168" s="8"/>
    </row>
    <row r="169" spans="1:10" s="11" customFormat="1" ht="18" customHeight="1" hidden="1">
      <c r="A169" s="615">
        <v>17</v>
      </c>
      <c r="B169" s="615" t="s">
        <v>133</v>
      </c>
      <c r="C169" s="139" t="s">
        <v>192</v>
      </c>
      <c r="D169" s="109" t="s">
        <v>9</v>
      </c>
      <c r="E169" s="110" t="s">
        <v>34</v>
      </c>
      <c r="F169" s="110">
        <f>E170</f>
        <v>3</v>
      </c>
      <c r="G169" s="145"/>
      <c r="H169" s="45"/>
      <c r="I169" s="45"/>
      <c r="J169" s="8"/>
    </row>
    <row r="170" spans="1:9" s="11" customFormat="1" ht="40.5" customHeight="1" hidden="1">
      <c r="A170" s="614"/>
      <c r="B170" s="632"/>
      <c r="C170" s="138" t="s">
        <v>724</v>
      </c>
      <c r="D170" s="111" t="s">
        <v>9</v>
      </c>
      <c r="E170" s="107">
        <v>3</v>
      </c>
      <c r="F170" s="107" t="s">
        <v>34</v>
      </c>
      <c r="G170" s="145"/>
      <c r="H170" s="45"/>
      <c r="I170" s="45"/>
    </row>
    <row r="171" spans="1:9" s="11" customFormat="1" ht="18" customHeight="1" hidden="1">
      <c r="A171" s="615">
        <v>18</v>
      </c>
      <c r="B171" s="615" t="s">
        <v>193</v>
      </c>
      <c r="C171" s="139" t="s">
        <v>279</v>
      </c>
      <c r="D171" s="109" t="s">
        <v>9</v>
      </c>
      <c r="E171" s="110" t="s">
        <v>34</v>
      </c>
      <c r="F171" s="110">
        <f>E172</f>
        <v>5</v>
      </c>
      <c r="G171" s="145"/>
      <c r="H171" s="45"/>
      <c r="I171" s="45"/>
    </row>
    <row r="172" spans="1:9" s="11" customFormat="1" ht="42.75" customHeight="1" hidden="1">
      <c r="A172" s="615"/>
      <c r="B172" s="632"/>
      <c r="C172" s="138" t="s">
        <v>725</v>
      </c>
      <c r="D172" s="111" t="s">
        <v>9</v>
      </c>
      <c r="E172" s="107">
        <v>5</v>
      </c>
      <c r="F172" s="110" t="s">
        <v>34</v>
      </c>
      <c r="G172" s="145"/>
      <c r="H172" s="45"/>
      <c r="I172" s="45"/>
    </row>
    <row r="173" spans="1:9" s="11" customFormat="1" ht="18" customHeight="1" hidden="1">
      <c r="A173" s="611" t="s">
        <v>34</v>
      </c>
      <c r="B173" s="611" t="s">
        <v>194</v>
      </c>
      <c r="C173" s="814" t="s">
        <v>195</v>
      </c>
      <c r="D173" s="814" t="s">
        <v>8</v>
      </c>
      <c r="E173" s="814"/>
      <c r="F173" s="814"/>
      <c r="G173" s="145"/>
      <c r="H173" s="45"/>
      <c r="I173" s="45"/>
    </row>
    <row r="174" spans="1:9" s="11" customFormat="1" ht="18.75" customHeight="1" hidden="1">
      <c r="A174" s="615">
        <v>48</v>
      </c>
      <c r="B174" s="615" t="s">
        <v>196</v>
      </c>
      <c r="C174" s="139" t="s">
        <v>281</v>
      </c>
      <c r="D174" s="109" t="s">
        <v>11</v>
      </c>
      <c r="E174" s="110" t="s">
        <v>34</v>
      </c>
      <c r="F174" s="110">
        <f>E175</f>
        <v>0</v>
      </c>
      <c r="G174" s="145"/>
      <c r="H174" s="45"/>
      <c r="I174" s="45"/>
    </row>
    <row r="175" spans="1:9" s="11" customFormat="1" ht="64.5" customHeight="1" hidden="1">
      <c r="A175" s="615"/>
      <c r="B175" s="632"/>
      <c r="C175" s="138" t="s">
        <v>463</v>
      </c>
      <c r="D175" s="111" t="s">
        <v>11</v>
      </c>
      <c r="E175" s="107">
        <v>0</v>
      </c>
      <c r="F175" s="110" t="s">
        <v>34</v>
      </c>
      <c r="G175" s="145"/>
      <c r="H175" s="45"/>
      <c r="I175" s="45"/>
    </row>
    <row r="176" spans="1:9" s="11" customFormat="1" ht="26.25" customHeight="1">
      <c r="A176" s="611" t="s">
        <v>34</v>
      </c>
      <c r="B176" s="611" t="s">
        <v>948</v>
      </c>
      <c r="C176" s="814" t="s">
        <v>949</v>
      </c>
      <c r="D176" s="814" t="s">
        <v>8</v>
      </c>
      <c r="E176" s="814"/>
      <c r="F176" s="814"/>
      <c r="G176" s="145"/>
      <c r="H176" s="45"/>
      <c r="I176" s="45"/>
    </row>
    <row r="177" spans="1:9" s="11" customFormat="1" ht="24.75" customHeight="1">
      <c r="A177" s="621" t="s">
        <v>1008</v>
      </c>
      <c r="B177" s="637" t="s">
        <v>950</v>
      </c>
      <c r="C177" s="576" t="s">
        <v>951</v>
      </c>
      <c r="D177" s="577" t="s">
        <v>11</v>
      </c>
      <c r="E177" s="578" t="s">
        <v>34</v>
      </c>
      <c r="F177" s="578">
        <v>70</v>
      </c>
      <c r="G177" s="145"/>
      <c r="H177" s="45"/>
      <c r="I177" s="45"/>
    </row>
    <row r="178" spans="1:9" s="11" customFormat="1" ht="111" customHeight="1">
      <c r="A178" s="621"/>
      <c r="B178" s="635"/>
      <c r="C178" s="579" t="s">
        <v>952</v>
      </c>
      <c r="D178" s="580" t="s">
        <v>11</v>
      </c>
      <c r="E178" s="581">
        <v>70</v>
      </c>
      <c r="F178" s="578" t="s">
        <v>34</v>
      </c>
      <c r="G178" s="145"/>
      <c r="H178" s="45"/>
      <c r="I178" s="45"/>
    </row>
    <row r="179" spans="1:9" s="11" customFormat="1" ht="21.75" customHeight="1">
      <c r="A179" s="621" t="s">
        <v>1009</v>
      </c>
      <c r="B179" s="637" t="s">
        <v>953</v>
      </c>
      <c r="C179" s="576" t="s">
        <v>954</v>
      </c>
      <c r="D179" s="577" t="s">
        <v>9</v>
      </c>
      <c r="E179" s="578" t="s">
        <v>34</v>
      </c>
      <c r="F179" s="578">
        <v>1</v>
      </c>
      <c r="G179" s="145"/>
      <c r="H179" s="45"/>
      <c r="I179" s="45"/>
    </row>
    <row r="180" spans="1:9" s="11" customFormat="1" ht="64.5" customHeight="1">
      <c r="A180" s="621"/>
      <c r="B180" s="635"/>
      <c r="C180" s="579" t="s">
        <v>955</v>
      </c>
      <c r="D180" s="580" t="s">
        <v>12</v>
      </c>
      <c r="E180" s="581">
        <v>1</v>
      </c>
      <c r="F180" s="578" t="s">
        <v>34</v>
      </c>
      <c r="G180" s="145"/>
      <c r="H180" s="45"/>
      <c r="I180" s="45"/>
    </row>
    <row r="181" spans="1:9" s="11" customFormat="1" ht="25.5" customHeight="1">
      <c r="A181" s="621" t="s">
        <v>1010</v>
      </c>
      <c r="B181" s="637" t="s">
        <v>956</v>
      </c>
      <c r="C181" s="576" t="s">
        <v>957</v>
      </c>
      <c r="D181" s="577" t="s">
        <v>9</v>
      </c>
      <c r="E181" s="578" t="s">
        <v>34</v>
      </c>
      <c r="F181" s="578">
        <v>2</v>
      </c>
      <c r="G181" s="145"/>
      <c r="H181" s="45"/>
      <c r="I181" s="45"/>
    </row>
    <row r="182" spans="1:9" s="11" customFormat="1" ht="58.5" customHeight="1">
      <c r="A182" s="621"/>
      <c r="B182" s="635"/>
      <c r="C182" s="579" t="s">
        <v>958</v>
      </c>
      <c r="D182" s="580" t="s">
        <v>12</v>
      </c>
      <c r="E182" s="581">
        <v>2</v>
      </c>
      <c r="F182" s="578" t="s">
        <v>34</v>
      </c>
      <c r="G182" s="145"/>
      <c r="H182" s="45"/>
      <c r="I182" s="45"/>
    </row>
    <row r="183" spans="1:9" s="11" customFormat="1" ht="64.5" customHeight="1" hidden="1">
      <c r="A183" s="615"/>
      <c r="B183" s="632"/>
      <c r="C183" s="138"/>
      <c r="D183" s="111"/>
      <c r="E183" s="107"/>
      <c r="F183" s="110"/>
      <c r="G183" s="145"/>
      <c r="H183" s="45"/>
      <c r="I183" s="45"/>
    </row>
    <row r="184" spans="1:9" s="11" customFormat="1" ht="64.5" customHeight="1" hidden="1">
      <c r="A184" s="615"/>
      <c r="B184" s="632"/>
      <c r="C184" s="138"/>
      <c r="D184" s="111"/>
      <c r="E184" s="107"/>
      <c r="F184" s="110"/>
      <c r="G184" s="145"/>
      <c r="H184" s="45"/>
      <c r="I184" s="45"/>
    </row>
    <row r="185" spans="1:9" s="11" customFormat="1" ht="64.5" customHeight="1" hidden="1">
      <c r="A185" s="615"/>
      <c r="B185" s="632"/>
      <c r="C185" s="138"/>
      <c r="D185" s="111"/>
      <c r="E185" s="107"/>
      <c r="F185" s="110"/>
      <c r="G185" s="145"/>
      <c r="H185" s="45"/>
      <c r="I185" s="45"/>
    </row>
    <row r="186" spans="1:9" s="11" customFormat="1" ht="64.5" customHeight="1" hidden="1">
      <c r="A186" s="615"/>
      <c r="B186" s="632"/>
      <c r="C186" s="138"/>
      <c r="D186" s="111"/>
      <c r="E186" s="107"/>
      <c r="F186" s="110"/>
      <c r="G186" s="145"/>
      <c r="H186" s="45"/>
      <c r="I186" s="45"/>
    </row>
    <row r="187" spans="1:9" s="11" customFormat="1" ht="64.5" customHeight="1" hidden="1">
      <c r="A187" s="615"/>
      <c r="B187" s="632"/>
      <c r="C187" s="138"/>
      <c r="D187" s="111"/>
      <c r="E187" s="107"/>
      <c r="F187" s="110"/>
      <c r="G187" s="145"/>
      <c r="H187" s="45"/>
      <c r="I187" s="45"/>
    </row>
    <row r="188" spans="1:9" s="11" customFormat="1" ht="64.5" customHeight="1" hidden="1">
      <c r="A188" s="615"/>
      <c r="B188" s="632"/>
      <c r="C188" s="138"/>
      <c r="D188" s="111"/>
      <c r="E188" s="107"/>
      <c r="F188" s="110"/>
      <c r="G188" s="145"/>
      <c r="H188" s="45"/>
      <c r="I188" s="45"/>
    </row>
    <row r="189" spans="1:9" s="11" customFormat="1" ht="64.5" customHeight="1" hidden="1">
      <c r="A189" s="615"/>
      <c r="B189" s="632"/>
      <c r="C189" s="138"/>
      <c r="D189" s="111"/>
      <c r="E189" s="107"/>
      <c r="F189" s="110"/>
      <c r="G189" s="145"/>
      <c r="H189" s="45"/>
      <c r="I189" s="45"/>
    </row>
    <row r="190" spans="1:9" s="11" customFormat="1" ht="64.5" customHeight="1" hidden="1">
      <c r="A190" s="615"/>
      <c r="B190" s="632"/>
      <c r="C190" s="138"/>
      <c r="D190" s="111"/>
      <c r="E190" s="107"/>
      <c r="F190" s="110"/>
      <c r="G190" s="145"/>
      <c r="H190" s="45"/>
      <c r="I190" s="45"/>
    </row>
    <row r="191" spans="1:9" s="11" customFormat="1" ht="64.5" customHeight="1" hidden="1">
      <c r="A191" s="615"/>
      <c r="B191" s="632"/>
      <c r="C191" s="138"/>
      <c r="D191" s="111"/>
      <c r="E191" s="107"/>
      <c r="F191" s="110"/>
      <c r="G191" s="145"/>
      <c r="H191" s="45"/>
      <c r="I191" s="45"/>
    </row>
    <row r="192" spans="1:9" s="11" customFormat="1" ht="64.5" customHeight="1" hidden="1">
      <c r="A192" s="615"/>
      <c r="B192" s="632"/>
      <c r="C192" s="138"/>
      <c r="D192" s="111"/>
      <c r="E192" s="107"/>
      <c r="F192" s="110"/>
      <c r="G192" s="145"/>
      <c r="H192" s="45"/>
      <c r="I192" s="45"/>
    </row>
    <row r="193" spans="1:9" s="11" customFormat="1" ht="64.5" customHeight="1" hidden="1">
      <c r="A193" s="615"/>
      <c r="B193" s="632"/>
      <c r="C193" s="138"/>
      <c r="D193" s="111"/>
      <c r="E193" s="107"/>
      <c r="F193" s="110"/>
      <c r="G193" s="145"/>
      <c r="H193" s="45"/>
      <c r="I193" s="45"/>
    </row>
    <row r="194" spans="1:9" s="11" customFormat="1" ht="64.5" customHeight="1" hidden="1">
      <c r="A194" s="615"/>
      <c r="B194" s="632"/>
      <c r="C194" s="138"/>
      <c r="D194" s="111"/>
      <c r="E194" s="107"/>
      <c r="F194" s="110"/>
      <c r="G194" s="145"/>
      <c r="H194" s="45"/>
      <c r="I194" s="45"/>
    </row>
    <row r="195" spans="1:9" s="11" customFormat="1" ht="64.5" customHeight="1" hidden="1">
      <c r="A195" s="615"/>
      <c r="B195" s="632"/>
      <c r="C195" s="138"/>
      <c r="D195" s="111"/>
      <c r="E195" s="107"/>
      <c r="F195" s="110"/>
      <c r="G195" s="145"/>
      <c r="H195" s="45"/>
      <c r="I195" s="45"/>
    </row>
    <row r="196" spans="1:9" s="11" customFormat="1" ht="30" customHeight="1">
      <c r="A196" s="610" t="s">
        <v>33</v>
      </c>
      <c r="B196" s="610" t="s">
        <v>68</v>
      </c>
      <c r="C196" s="848" t="s">
        <v>208</v>
      </c>
      <c r="D196" s="848"/>
      <c r="E196" s="848"/>
      <c r="F196" s="848"/>
      <c r="G196" s="145"/>
      <c r="H196" s="45"/>
      <c r="I196" s="45"/>
    </row>
    <row r="197" spans="1:9" s="11" customFormat="1" ht="18" customHeight="1">
      <c r="A197" s="611" t="s">
        <v>34</v>
      </c>
      <c r="B197" s="611" t="s">
        <v>24</v>
      </c>
      <c r="C197" s="814" t="s">
        <v>25</v>
      </c>
      <c r="D197" s="814" t="s">
        <v>8</v>
      </c>
      <c r="E197" s="814"/>
      <c r="F197" s="814"/>
      <c r="G197" s="145"/>
      <c r="H197" s="45"/>
      <c r="I197" s="45"/>
    </row>
    <row r="198" spans="1:9" s="11" customFormat="1" ht="29.25" customHeight="1">
      <c r="A198" s="615" t="s">
        <v>1011</v>
      </c>
      <c r="B198" s="631" t="s">
        <v>649</v>
      </c>
      <c r="C198" s="142" t="s">
        <v>650</v>
      </c>
      <c r="D198" s="109" t="s">
        <v>11</v>
      </c>
      <c r="E198" s="110" t="s">
        <v>34</v>
      </c>
      <c r="F198" s="110">
        <f>SUM(E199:E199)</f>
        <v>98</v>
      </c>
      <c r="G198" s="145"/>
      <c r="H198" s="45"/>
      <c r="I198" s="45"/>
    </row>
    <row r="199" spans="1:11" s="11" customFormat="1" ht="57.75" customHeight="1">
      <c r="A199" s="615"/>
      <c r="B199" s="632"/>
      <c r="C199" s="138" t="s">
        <v>861</v>
      </c>
      <c r="D199" s="111" t="s">
        <v>11</v>
      </c>
      <c r="E199" s="107">
        <v>98</v>
      </c>
      <c r="F199" s="110" t="s">
        <v>34</v>
      </c>
      <c r="G199" s="145"/>
      <c r="H199" s="45"/>
      <c r="I199" s="45"/>
      <c r="K199" s="419" t="s">
        <v>863</v>
      </c>
    </row>
    <row r="200" spans="1:11" s="8" customFormat="1" ht="18" customHeight="1">
      <c r="A200" s="611" t="s">
        <v>34</v>
      </c>
      <c r="B200" s="611" t="s">
        <v>26</v>
      </c>
      <c r="C200" s="814" t="s">
        <v>27</v>
      </c>
      <c r="D200" s="814" t="s">
        <v>8</v>
      </c>
      <c r="E200" s="814"/>
      <c r="F200" s="814"/>
      <c r="G200" s="144"/>
      <c r="H200" s="43">
        <v>90.78</v>
      </c>
      <c r="I200" s="43">
        <f>H200*F198</f>
        <v>8896.44</v>
      </c>
      <c r="J200" s="11"/>
      <c r="K200" s="11"/>
    </row>
    <row r="201" spans="1:13" s="8" customFormat="1" ht="18" customHeight="1">
      <c r="A201" s="615" t="s">
        <v>1012</v>
      </c>
      <c r="B201" s="631" t="s">
        <v>99</v>
      </c>
      <c r="C201" s="139" t="s">
        <v>100</v>
      </c>
      <c r="D201" s="109" t="s">
        <v>199</v>
      </c>
      <c r="E201" s="110" t="s">
        <v>34</v>
      </c>
      <c r="F201" s="110">
        <f>E202</f>
        <v>146.5</v>
      </c>
      <c r="G201" s="144"/>
      <c r="H201" s="45"/>
      <c r="I201" s="45"/>
      <c r="J201" s="11"/>
      <c r="K201" s="11"/>
      <c r="L201" s="48"/>
      <c r="M201" s="48"/>
    </row>
    <row r="202" spans="1:11" s="13" customFormat="1" ht="77.25" customHeight="1">
      <c r="A202" s="615" t="s">
        <v>8</v>
      </c>
      <c r="B202" s="638"/>
      <c r="C202" s="138" t="s">
        <v>862</v>
      </c>
      <c r="D202" s="111" t="s">
        <v>200</v>
      </c>
      <c r="E202" s="107">
        <v>146.5</v>
      </c>
      <c r="F202" s="110" t="s">
        <v>34</v>
      </c>
      <c r="G202" s="146"/>
      <c r="H202" s="43">
        <v>72.3</v>
      </c>
      <c r="I202" s="43" t="e">
        <f>H202*#REF!</f>
        <v>#REF!</v>
      </c>
      <c r="J202" s="11"/>
      <c r="K202" s="419" t="s">
        <v>863</v>
      </c>
    </row>
    <row r="203" spans="1:10" s="8" customFormat="1" ht="30" customHeight="1">
      <c r="A203" s="615" t="s">
        <v>1013</v>
      </c>
      <c r="B203" s="631" t="s">
        <v>1</v>
      </c>
      <c r="C203" s="139" t="s">
        <v>285</v>
      </c>
      <c r="D203" s="109" t="s">
        <v>199</v>
      </c>
      <c r="E203" s="110" t="s">
        <v>34</v>
      </c>
      <c r="F203" s="110">
        <f>E204</f>
        <v>25</v>
      </c>
      <c r="G203" s="144"/>
      <c r="H203" s="45"/>
      <c r="I203" s="45"/>
      <c r="J203" s="11"/>
    </row>
    <row r="204" spans="1:11" s="8" customFormat="1" ht="57" customHeight="1">
      <c r="A204" s="615" t="s">
        <v>8</v>
      </c>
      <c r="B204" s="638"/>
      <c r="C204" s="138" t="s">
        <v>890</v>
      </c>
      <c r="D204" s="111" t="s">
        <v>200</v>
      </c>
      <c r="E204" s="107">
        <v>25</v>
      </c>
      <c r="F204" s="110" t="s">
        <v>34</v>
      </c>
      <c r="G204" s="144"/>
      <c r="H204" s="801"/>
      <c r="I204" s="801"/>
      <c r="K204" s="419" t="s">
        <v>863</v>
      </c>
    </row>
    <row r="205" spans="1:9" s="8" customFormat="1" ht="18" customHeight="1">
      <c r="A205" s="611" t="s">
        <v>34</v>
      </c>
      <c r="B205" s="611" t="s">
        <v>28</v>
      </c>
      <c r="C205" s="814" t="s">
        <v>29</v>
      </c>
      <c r="D205" s="814" t="s">
        <v>8</v>
      </c>
      <c r="E205" s="814"/>
      <c r="F205" s="814"/>
      <c r="G205" s="144"/>
      <c r="H205" s="683"/>
      <c r="I205" s="683"/>
    </row>
    <row r="206" spans="1:9" s="8" customFormat="1" ht="17.25" customHeight="1">
      <c r="A206" s="615" t="s">
        <v>1014</v>
      </c>
      <c r="B206" s="631" t="s">
        <v>2</v>
      </c>
      <c r="C206" s="139" t="s">
        <v>134</v>
      </c>
      <c r="D206" s="109" t="s">
        <v>11</v>
      </c>
      <c r="E206" s="110" t="s">
        <v>34</v>
      </c>
      <c r="F206" s="110">
        <f>E207</f>
        <v>108.4</v>
      </c>
      <c r="G206" s="144"/>
      <c r="H206" s="683"/>
      <c r="I206" s="683"/>
    </row>
    <row r="207" spans="1:12" s="11" customFormat="1" ht="43.5" customHeight="1">
      <c r="A207" s="615" t="s">
        <v>8</v>
      </c>
      <c r="B207" s="638"/>
      <c r="C207" s="138" t="s">
        <v>864</v>
      </c>
      <c r="D207" s="111" t="s">
        <v>11</v>
      </c>
      <c r="E207" s="107">
        <f>98+10.4</f>
        <v>108.4</v>
      </c>
      <c r="F207" s="107" t="s">
        <v>34</v>
      </c>
      <c r="G207" s="143"/>
      <c r="H207" s="43">
        <v>78.42</v>
      </c>
      <c r="I207" s="43">
        <f>H207*F203</f>
        <v>1960.5</v>
      </c>
      <c r="J207" s="13"/>
      <c r="K207" s="419" t="s">
        <v>863</v>
      </c>
      <c r="L207" s="429"/>
    </row>
    <row r="208" spans="1:12" s="11" customFormat="1" ht="25.5" customHeight="1">
      <c r="A208" s="611" t="s">
        <v>34</v>
      </c>
      <c r="B208" s="611" t="s">
        <v>877</v>
      </c>
      <c r="C208" s="814" t="s">
        <v>878</v>
      </c>
      <c r="D208" s="814"/>
      <c r="E208" s="814"/>
      <c r="F208" s="814"/>
      <c r="G208" s="814"/>
      <c r="H208" s="814"/>
      <c r="I208" s="814"/>
      <c r="J208" s="13"/>
      <c r="K208" s="419"/>
      <c r="L208" s="429"/>
    </row>
    <row r="209" spans="1:12" s="11" customFormat="1" ht="27.75" customHeight="1">
      <c r="A209" s="663" t="s">
        <v>1015</v>
      </c>
      <c r="B209" s="637" t="s">
        <v>879</v>
      </c>
      <c r="C209" s="576" t="s">
        <v>901</v>
      </c>
      <c r="D209" s="577" t="s">
        <v>11</v>
      </c>
      <c r="E209" s="578" t="s">
        <v>34</v>
      </c>
      <c r="F209" s="578">
        <f>E210</f>
        <v>56</v>
      </c>
      <c r="G209" s="578">
        <f>F209</f>
        <v>56</v>
      </c>
      <c r="H209" s="578">
        <v>74.23</v>
      </c>
      <c r="I209" s="106">
        <f>H209*F209</f>
        <v>4156.88</v>
      </c>
      <c r="J209" s="13"/>
      <c r="K209" s="419"/>
      <c r="L209" s="429"/>
    </row>
    <row r="210" spans="1:12" s="11" customFormat="1" ht="66.75" customHeight="1">
      <c r="A210" s="621"/>
      <c r="B210" s="635"/>
      <c r="C210" s="579" t="s">
        <v>1088</v>
      </c>
      <c r="D210" s="580" t="s">
        <v>11</v>
      </c>
      <c r="E210" s="581">
        <v>56</v>
      </c>
      <c r="F210" s="578" t="s">
        <v>34</v>
      </c>
      <c r="G210" s="578" t="s">
        <v>34</v>
      </c>
      <c r="H210" s="578" t="s">
        <v>34</v>
      </c>
      <c r="I210" s="578" t="s">
        <v>34</v>
      </c>
      <c r="J210" s="13"/>
      <c r="K210" s="419" t="s">
        <v>863</v>
      </c>
      <c r="L210" s="429"/>
    </row>
    <row r="211" spans="1:12" s="11" customFormat="1" ht="25.5" customHeight="1">
      <c r="A211" s="611" t="s">
        <v>34</v>
      </c>
      <c r="B211" s="611" t="s">
        <v>1017</v>
      </c>
      <c r="C211" s="700" t="s">
        <v>960</v>
      </c>
      <c r="D211" s="700"/>
      <c r="E211" s="700"/>
      <c r="F211" s="700"/>
      <c r="G211" s="578"/>
      <c r="H211" s="578"/>
      <c r="I211" s="578"/>
      <c r="J211" s="13"/>
      <c r="K211" s="601"/>
      <c r="L211" s="429"/>
    </row>
    <row r="212" spans="1:12" s="11" customFormat="1" ht="20.25" customHeight="1">
      <c r="A212" s="621" t="s">
        <v>1016</v>
      </c>
      <c r="B212" s="637" t="s">
        <v>959</v>
      </c>
      <c r="C212" s="576" t="s">
        <v>961</v>
      </c>
      <c r="D212" s="577" t="s">
        <v>11</v>
      </c>
      <c r="E212" s="578" t="s">
        <v>34</v>
      </c>
      <c r="F212" s="578">
        <v>97</v>
      </c>
      <c r="G212" s="578"/>
      <c r="H212" s="578"/>
      <c r="I212" s="578"/>
      <c r="J212" s="13"/>
      <c r="K212" s="601"/>
      <c r="L212" s="429"/>
    </row>
    <row r="213" spans="1:12" s="11" customFormat="1" ht="66.75" customHeight="1">
      <c r="A213" s="621"/>
      <c r="B213" s="635"/>
      <c r="C213" s="579" t="s">
        <v>962</v>
      </c>
      <c r="D213" s="580" t="s">
        <v>11</v>
      </c>
      <c r="E213" s="581">
        <v>97</v>
      </c>
      <c r="F213" s="581" t="s">
        <v>34</v>
      </c>
      <c r="G213" s="578"/>
      <c r="H213" s="578"/>
      <c r="I213" s="578"/>
      <c r="J213" s="13"/>
      <c r="K213" s="601"/>
      <c r="L213" s="429"/>
    </row>
    <row r="214" spans="1:12" s="11" customFormat="1" ht="66.75" customHeight="1" hidden="1">
      <c r="A214" s="621"/>
      <c r="B214" s="635"/>
      <c r="C214" s="703"/>
      <c r="D214" s="704"/>
      <c r="E214" s="705"/>
      <c r="F214" s="705"/>
      <c r="G214" s="578"/>
      <c r="H214" s="578"/>
      <c r="I214" s="578"/>
      <c r="J214" s="13"/>
      <c r="K214" s="602"/>
      <c r="L214" s="429"/>
    </row>
    <row r="215" spans="1:12" s="11" customFormat="1" ht="66.75" customHeight="1" hidden="1">
      <c r="A215" s="621"/>
      <c r="B215" s="635"/>
      <c r="C215" s="703"/>
      <c r="D215" s="704"/>
      <c r="E215" s="705"/>
      <c r="F215" s="705"/>
      <c r="G215" s="578"/>
      <c r="H215" s="578"/>
      <c r="I215" s="578"/>
      <c r="J215" s="13"/>
      <c r="K215" s="602"/>
      <c r="L215" s="429"/>
    </row>
    <row r="216" spans="1:12" s="11" customFormat="1" ht="40.5" customHeight="1">
      <c r="A216" s="610" t="s">
        <v>1027</v>
      </c>
      <c r="B216" s="610" t="s">
        <v>881</v>
      </c>
      <c r="C216" s="848" t="s">
        <v>882</v>
      </c>
      <c r="D216" s="848"/>
      <c r="E216" s="848"/>
      <c r="F216" s="848"/>
      <c r="G216" s="578"/>
      <c r="H216" s="578"/>
      <c r="I216" s="578"/>
      <c r="J216" s="13"/>
      <c r="K216" s="419"/>
      <c r="L216" s="429"/>
    </row>
    <row r="217" spans="1:12" s="11" customFormat="1" ht="22.5" customHeight="1">
      <c r="A217" s="611" t="s">
        <v>34</v>
      </c>
      <c r="B217" s="611" t="s">
        <v>883</v>
      </c>
      <c r="C217" s="814" t="s">
        <v>903</v>
      </c>
      <c r="D217" s="814" t="s">
        <v>8</v>
      </c>
      <c r="E217" s="814"/>
      <c r="F217" s="814"/>
      <c r="G217" s="578"/>
      <c r="H217" s="578"/>
      <c r="I217" s="578"/>
      <c r="J217" s="13"/>
      <c r="K217" s="419"/>
      <c r="L217" s="429"/>
    </row>
    <row r="218" spans="1:12" s="11" customFormat="1" ht="22.5">
      <c r="A218" s="708" t="s">
        <v>1018</v>
      </c>
      <c r="B218" s="639" t="s">
        <v>884</v>
      </c>
      <c r="C218" s="709" t="s">
        <v>981</v>
      </c>
      <c r="D218" s="577" t="s">
        <v>202</v>
      </c>
      <c r="E218" s="578" t="s">
        <v>34</v>
      </c>
      <c r="F218" s="578">
        <f>E219</f>
        <v>23.05</v>
      </c>
      <c r="G218" s="578"/>
      <c r="H218" s="578"/>
      <c r="I218" s="578"/>
      <c r="J218" s="13"/>
      <c r="K218" s="419"/>
      <c r="L218" s="429"/>
    </row>
    <row r="219" spans="1:12" s="11" customFormat="1" ht="66.75" customHeight="1">
      <c r="A219" s="710"/>
      <c r="B219" s="710"/>
      <c r="C219" s="579" t="s">
        <v>904</v>
      </c>
      <c r="D219" s="604" t="s">
        <v>885</v>
      </c>
      <c r="E219" s="605">
        <f>22*3.8*0.17*1.2+20*1*0.3</f>
        <v>23.05</v>
      </c>
      <c r="F219" s="105" t="s">
        <v>34</v>
      </c>
      <c r="G219" s="578"/>
      <c r="H219" s="578"/>
      <c r="I219" s="578"/>
      <c r="J219" s="13"/>
      <c r="K219" s="419"/>
      <c r="L219" s="429"/>
    </row>
    <row r="220" spans="1:12" s="11" customFormat="1" ht="24.75" customHeight="1">
      <c r="A220" s="611" t="s">
        <v>34</v>
      </c>
      <c r="B220" s="611" t="s">
        <v>963</v>
      </c>
      <c r="C220" s="700" t="s">
        <v>964</v>
      </c>
      <c r="D220" s="711"/>
      <c r="E220" s="712"/>
      <c r="F220" s="715"/>
      <c r="G220" s="578"/>
      <c r="H220" s="578"/>
      <c r="I220" s="578"/>
      <c r="J220" s="13"/>
      <c r="K220" s="602"/>
      <c r="L220" s="429"/>
    </row>
    <row r="221" spans="1:12" s="11" customFormat="1" ht="20.25" customHeight="1">
      <c r="A221" s="716" t="s">
        <v>1019</v>
      </c>
      <c r="B221" s="608" t="s">
        <v>1091</v>
      </c>
      <c r="C221" s="99" t="s">
        <v>965</v>
      </c>
      <c r="D221" s="97" t="s">
        <v>11</v>
      </c>
      <c r="E221" s="97" t="s">
        <v>34</v>
      </c>
      <c r="F221" s="606">
        <v>19</v>
      </c>
      <c r="G221" s="578"/>
      <c r="H221" s="578"/>
      <c r="I221" s="578"/>
      <c r="J221" s="13"/>
      <c r="K221" s="602"/>
      <c r="L221" s="429"/>
    </row>
    <row r="222" spans="1:12" s="11" customFormat="1" ht="84" customHeight="1">
      <c r="A222" s="710"/>
      <c r="B222" s="638"/>
      <c r="C222" s="579" t="s">
        <v>1089</v>
      </c>
      <c r="D222" s="580" t="s">
        <v>11</v>
      </c>
      <c r="E222" s="581">
        <v>19</v>
      </c>
      <c r="F222" s="581" t="s">
        <v>34</v>
      </c>
      <c r="G222" s="578"/>
      <c r="H222" s="578"/>
      <c r="I222" s="578"/>
      <c r="J222" s="13"/>
      <c r="K222" s="602"/>
      <c r="L222" s="429"/>
    </row>
    <row r="223" spans="1:12" s="11" customFormat="1" ht="18.75" customHeight="1">
      <c r="A223" s="611" t="s">
        <v>34</v>
      </c>
      <c r="B223" s="611" t="s">
        <v>966</v>
      </c>
      <c r="C223" s="814" t="s">
        <v>1090</v>
      </c>
      <c r="D223" s="814"/>
      <c r="E223" s="814"/>
      <c r="F223" s="814"/>
      <c r="G223" s="578"/>
      <c r="H223" s="578"/>
      <c r="I223" s="578"/>
      <c r="J223" s="13"/>
      <c r="K223" s="603"/>
      <c r="L223" s="429"/>
    </row>
    <row r="224" spans="1:12" s="11" customFormat="1" ht="27.75" customHeight="1">
      <c r="A224" s="716" t="s">
        <v>1020</v>
      </c>
      <c r="B224" s="637" t="s">
        <v>966</v>
      </c>
      <c r="C224" s="576" t="s">
        <v>968</v>
      </c>
      <c r="D224" s="577" t="s">
        <v>199</v>
      </c>
      <c r="E224" s="578" t="s">
        <v>34</v>
      </c>
      <c r="F224" s="578">
        <v>23</v>
      </c>
      <c r="G224" s="578"/>
      <c r="H224" s="578"/>
      <c r="I224" s="578"/>
      <c r="J224" s="13"/>
      <c r="K224" s="603"/>
      <c r="L224" s="429"/>
    </row>
    <row r="225" spans="1:12" s="11" customFormat="1" ht="84" customHeight="1">
      <c r="A225" s="710"/>
      <c r="B225" s="638"/>
      <c r="C225" s="579" t="s">
        <v>980</v>
      </c>
      <c r="D225" s="580" t="s">
        <v>200</v>
      </c>
      <c r="E225" s="581">
        <v>23</v>
      </c>
      <c r="F225" s="581" t="s">
        <v>34</v>
      </c>
      <c r="G225" s="578"/>
      <c r="H225" s="578"/>
      <c r="I225" s="578"/>
      <c r="J225" s="13"/>
      <c r="K225" s="603"/>
      <c r="L225" s="429"/>
    </row>
    <row r="226" spans="1:12" s="11" customFormat="1" ht="39.75" customHeight="1">
      <c r="A226" s="609" t="s">
        <v>139</v>
      </c>
      <c r="B226" s="847" t="s">
        <v>1085</v>
      </c>
      <c r="C226" s="852"/>
      <c r="D226" s="852"/>
      <c r="E226" s="852"/>
      <c r="F226" s="852"/>
      <c r="G226" s="578"/>
      <c r="H226" s="578"/>
      <c r="I226" s="578"/>
      <c r="J226" s="13"/>
      <c r="K226" s="419"/>
      <c r="L226" s="429"/>
    </row>
    <row r="227" spans="1:12" s="11" customFormat="1" ht="26.25">
      <c r="A227" s="610" t="s">
        <v>880</v>
      </c>
      <c r="B227" s="610" t="s">
        <v>906</v>
      </c>
      <c r="C227" s="848" t="s">
        <v>907</v>
      </c>
      <c r="D227" s="848"/>
      <c r="E227" s="848"/>
      <c r="F227" s="848"/>
      <c r="G227" s="578"/>
      <c r="H227" s="578"/>
      <c r="I227" s="578"/>
      <c r="J227" s="13"/>
      <c r="K227" s="419"/>
      <c r="L227" s="429"/>
    </row>
    <row r="228" spans="1:12" s="11" customFormat="1" ht="24" customHeight="1">
      <c r="A228" s="611" t="s">
        <v>34</v>
      </c>
      <c r="B228" s="611" t="s">
        <v>908</v>
      </c>
      <c r="C228" s="814" t="s">
        <v>909</v>
      </c>
      <c r="D228" s="814"/>
      <c r="E228" s="814"/>
      <c r="F228" s="814"/>
      <c r="G228" s="578"/>
      <c r="H228" s="578"/>
      <c r="I228" s="578"/>
      <c r="J228" s="13"/>
      <c r="K228" s="419"/>
      <c r="L228" s="429"/>
    </row>
    <row r="229" spans="1:12" s="11" customFormat="1" ht="25.5" customHeight="1">
      <c r="A229" s="608" t="s">
        <v>1021</v>
      </c>
      <c r="B229" s="623" t="s">
        <v>910</v>
      </c>
      <c r="C229" s="99" t="s">
        <v>912</v>
      </c>
      <c r="D229" s="97" t="s">
        <v>11</v>
      </c>
      <c r="E229" s="101" t="s">
        <v>34</v>
      </c>
      <c r="F229" s="101">
        <f>SUM(E230)</f>
        <v>22</v>
      </c>
      <c r="G229" s="578"/>
      <c r="H229" s="578"/>
      <c r="I229" s="578"/>
      <c r="J229" s="13"/>
      <c r="K229" s="419"/>
      <c r="L229" s="429"/>
    </row>
    <row r="230" spans="1:12" s="11" customFormat="1" ht="82.5" customHeight="1">
      <c r="A230" s="607"/>
      <c r="B230" s="607"/>
      <c r="C230" s="90" t="s">
        <v>911</v>
      </c>
      <c r="D230" s="91" t="s">
        <v>11</v>
      </c>
      <c r="E230" s="92">
        <v>22</v>
      </c>
      <c r="F230" s="92" t="s">
        <v>34</v>
      </c>
      <c r="G230" s="578"/>
      <c r="H230" s="578"/>
      <c r="I230" s="578"/>
      <c r="J230" s="13"/>
      <c r="K230" s="419"/>
      <c r="L230" s="429"/>
    </row>
    <row r="231" spans="1:12" s="11" customFormat="1" ht="66.75" customHeight="1" hidden="1">
      <c r="A231" s="608"/>
      <c r="B231" s="623"/>
      <c r="C231" s="99"/>
      <c r="D231" s="97"/>
      <c r="E231" s="101"/>
      <c r="F231" s="101"/>
      <c r="G231" s="578"/>
      <c r="H231" s="578"/>
      <c r="I231" s="578"/>
      <c r="J231" s="13"/>
      <c r="K231" s="419"/>
      <c r="L231" s="429"/>
    </row>
    <row r="232" spans="1:12" s="11" customFormat="1" ht="66.75" customHeight="1" hidden="1">
      <c r="A232" s="628"/>
      <c r="B232" s="628"/>
      <c r="C232" s="90"/>
      <c r="D232" s="91"/>
      <c r="E232" s="92"/>
      <c r="F232" s="92"/>
      <c r="G232" s="578"/>
      <c r="H232" s="578"/>
      <c r="I232" s="578"/>
      <c r="J232" s="13"/>
      <c r="K232" s="419"/>
      <c r="L232" s="429"/>
    </row>
    <row r="233" spans="1:12" s="11" customFormat="1" ht="66.75" customHeight="1" hidden="1">
      <c r="A233" s="621"/>
      <c r="B233" s="635"/>
      <c r="C233" s="579"/>
      <c r="D233" s="580"/>
      <c r="E233" s="581"/>
      <c r="F233" s="578"/>
      <c r="G233" s="578"/>
      <c r="H233" s="578"/>
      <c r="I233" s="578"/>
      <c r="J233" s="13"/>
      <c r="K233" s="419"/>
      <c r="L233" s="429"/>
    </row>
    <row r="234" spans="1:9" ht="37.5" customHeight="1" hidden="1">
      <c r="A234" s="609" t="s">
        <v>139</v>
      </c>
      <c r="B234" s="847" t="s">
        <v>780</v>
      </c>
      <c r="C234" s="847"/>
      <c r="D234" s="847"/>
      <c r="E234" s="847"/>
      <c r="F234" s="847"/>
      <c r="G234" s="847"/>
      <c r="H234" s="847"/>
      <c r="I234" s="847"/>
    </row>
    <row r="235" spans="1:9" ht="25.5" customHeight="1" hidden="1">
      <c r="A235" s="610" t="s">
        <v>101</v>
      </c>
      <c r="B235" s="610" t="s">
        <v>781</v>
      </c>
      <c r="C235" s="816" t="s">
        <v>782</v>
      </c>
      <c r="D235" s="816"/>
      <c r="E235" s="816"/>
      <c r="F235" s="816"/>
      <c r="G235" s="816"/>
      <c r="H235" s="816"/>
      <c r="I235" s="816"/>
    </row>
    <row r="236" spans="1:9" ht="20.25" customHeight="1" hidden="1">
      <c r="A236" s="615">
        <v>23</v>
      </c>
      <c r="B236" s="631"/>
      <c r="C236" s="139" t="s">
        <v>783</v>
      </c>
      <c r="D236" s="109" t="s">
        <v>9</v>
      </c>
      <c r="E236" s="110" t="s">
        <v>34</v>
      </c>
      <c r="F236" s="110">
        <f>E237</f>
        <v>4</v>
      </c>
      <c r="G236" s="491"/>
      <c r="H236" s="491"/>
      <c r="I236" s="491"/>
    </row>
    <row r="237" spans="1:11" ht="71.25" customHeight="1" hidden="1">
      <c r="A237" s="615" t="s">
        <v>8</v>
      </c>
      <c r="B237" s="638"/>
      <c r="C237" s="138" t="s">
        <v>865</v>
      </c>
      <c r="D237" s="111" t="s">
        <v>9</v>
      </c>
      <c r="E237" s="107">
        <v>4</v>
      </c>
      <c r="F237" s="107" t="s">
        <v>34</v>
      </c>
      <c r="G237" s="491"/>
      <c r="H237" s="491"/>
      <c r="I237" s="491"/>
      <c r="K237" s="14" t="s">
        <v>863</v>
      </c>
    </row>
    <row r="238" spans="1:11" ht="46.5" customHeight="1">
      <c r="A238" s="609" t="s">
        <v>784</v>
      </c>
      <c r="B238" s="847" t="s">
        <v>1086</v>
      </c>
      <c r="C238" s="847"/>
      <c r="D238" s="847"/>
      <c r="E238" s="847"/>
      <c r="F238" s="847"/>
      <c r="G238" s="847"/>
      <c r="H238" s="847"/>
      <c r="I238" s="847"/>
      <c r="K238" s="14"/>
    </row>
    <row r="239" spans="1:11" ht="71.25" customHeight="1">
      <c r="A239" s="610" t="s">
        <v>211</v>
      </c>
      <c r="B239" s="610" t="s">
        <v>781</v>
      </c>
      <c r="C239" s="816" t="s">
        <v>782</v>
      </c>
      <c r="D239" s="816"/>
      <c r="E239" s="816"/>
      <c r="F239" s="816"/>
      <c r="G239" s="816"/>
      <c r="H239" s="816"/>
      <c r="I239" s="816"/>
      <c r="K239" s="14"/>
    </row>
    <row r="240" spans="1:11" ht="28.5" customHeight="1">
      <c r="A240" s="615" t="s">
        <v>1022</v>
      </c>
      <c r="B240" s="97" t="s">
        <v>1046</v>
      </c>
      <c r="C240" s="136" t="s">
        <v>1044</v>
      </c>
      <c r="D240" s="659" t="s">
        <v>9</v>
      </c>
      <c r="E240" s="660" t="s">
        <v>34</v>
      </c>
      <c r="F240" s="578">
        <f>E241</f>
        <v>4</v>
      </c>
      <c r="G240" s="110">
        <v>320</v>
      </c>
      <c r="H240" s="507">
        <f>G240*F240</f>
        <v>1280</v>
      </c>
      <c r="I240" s="110">
        <f>E241</f>
        <v>4</v>
      </c>
      <c r="K240" s="14"/>
    </row>
    <row r="241" spans="1:11" ht="38.25" customHeight="1">
      <c r="A241" s="580"/>
      <c r="B241" s="580"/>
      <c r="C241" s="579" t="s">
        <v>1045</v>
      </c>
      <c r="D241" s="594" t="s">
        <v>9</v>
      </c>
      <c r="E241" s="661">
        <v>4</v>
      </c>
      <c r="F241" s="662" t="s">
        <v>34</v>
      </c>
      <c r="G241" s="491"/>
      <c r="H241" s="491"/>
      <c r="I241" s="491"/>
      <c r="K241" s="14"/>
    </row>
    <row r="242" spans="1:9" ht="48.75" customHeight="1">
      <c r="A242" s="609" t="s">
        <v>1029</v>
      </c>
      <c r="B242" s="847" t="s">
        <v>1087</v>
      </c>
      <c r="C242" s="847"/>
      <c r="D242" s="847"/>
      <c r="E242" s="847"/>
      <c r="F242" s="847"/>
      <c r="G242" s="847"/>
      <c r="H242" s="847"/>
      <c r="I242" s="847"/>
    </row>
    <row r="243" spans="1:9" ht="38.25" customHeight="1">
      <c r="A243" s="610" t="s">
        <v>1028</v>
      </c>
      <c r="B243" s="610" t="s">
        <v>785</v>
      </c>
      <c r="C243" s="816" t="s">
        <v>786</v>
      </c>
      <c r="D243" s="816"/>
      <c r="E243" s="816"/>
      <c r="F243" s="816"/>
      <c r="G243" s="816"/>
      <c r="H243" s="816"/>
      <c r="I243" s="816"/>
    </row>
    <row r="244" spans="1:256" ht="18.75" customHeight="1">
      <c r="A244" s="640" t="s">
        <v>34</v>
      </c>
      <c r="B244" s="640" t="s">
        <v>935</v>
      </c>
      <c r="C244" s="871" t="s">
        <v>936</v>
      </c>
      <c r="D244" s="871"/>
      <c r="E244" s="871"/>
      <c r="F244" s="871"/>
      <c r="G244" s="871"/>
      <c r="H244" s="871"/>
      <c r="I244" s="584" t="s">
        <v>34</v>
      </c>
      <c r="J244" s="596"/>
      <c r="K244" s="874"/>
      <c r="L244" s="874"/>
      <c r="M244" s="874"/>
      <c r="N244" s="874"/>
      <c r="O244" s="874"/>
      <c r="P244" s="874"/>
      <c r="Q244" s="596"/>
      <c r="R244" s="596"/>
      <c r="S244" s="874"/>
      <c r="T244" s="874"/>
      <c r="U244" s="874"/>
      <c r="V244" s="874"/>
      <c r="W244" s="874"/>
      <c r="X244" s="874"/>
      <c r="Y244" s="595"/>
      <c r="Z244" s="584"/>
      <c r="AA244" s="871"/>
      <c r="AB244" s="871"/>
      <c r="AC244" s="871"/>
      <c r="AD244" s="871"/>
      <c r="AE244" s="871"/>
      <c r="AF244" s="912"/>
      <c r="AG244" s="583"/>
      <c r="AH244" s="584"/>
      <c r="AI244" s="871"/>
      <c r="AJ244" s="871"/>
      <c r="AK244" s="871"/>
      <c r="AL244" s="871"/>
      <c r="AM244" s="871"/>
      <c r="AN244" s="912"/>
      <c r="AO244" s="583"/>
      <c r="AP244" s="584"/>
      <c r="AQ244" s="871"/>
      <c r="AR244" s="871"/>
      <c r="AS244" s="871"/>
      <c r="AT244" s="871"/>
      <c r="AU244" s="871"/>
      <c r="AV244" s="912"/>
      <c r="AW244" s="583"/>
      <c r="AX244" s="584"/>
      <c r="AY244" s="871"/>
      <c r="AZ244" s="871"/>
      <c r="BA244" s="871"/>
      <c r="BB244" s="871"/>
      <c r="BC244" s="871"/>
      <c r="BD244" s="912"/>
      <c r="BE244" s="583"/>
      <c r="BF244" s="584"/>
      <c r="BG244" s="871"/>
      <c r="BH244" s="871"/>
      <c r="BI244" s="871"/>
      <c r="BJ244" s="871"/>
      <c r="BK244" s="871"/>
      <c r="BL244" s="912"/>
      <c r="BM244" s="583"/>
      <c r="BN244" s="584"/>
      <c r="BO244" s="871"/>
      <c r="BP244" s="871"/>
      <c r="BQ244" s="871"/>
      <c r="BR244" s="871"/>
      <c r="BS244" s="871"/>
      <c r="BT244" s="912"/>
      <c r="BU244" s="583"/>
      <c r="BV244" s="584"/>
      <c r="BW244" s="871"/>
      <c r="BX244" s="871"/>
      <c r="BY244" s="871"/>
      <c r="BZ244" s="871"/>
      <c r="CA244" s="871"/>
      <c r="CB244" s="912"/>
      <c r="CC244" s="583"/>
      <c r="CD244" s="584"/>
      <c r="CE244" s="871"/>
      <c r="CF244" s="871"/>
      <c r="CG244" s="871"/>
      <c r="CH244" s="871"/>
      <c r="CI244" s="871"/>
      <c r="CJ244" s="912"/>
      <c r="CK244" s="583"/>
      <c r="CL244" s="584"/>
      <c r="CM244" s="871"/>
      <c r="CN244" s="871"/>
      <c r="CO244" s="871"/>
      <c r="CP244" s="871"/>
      <c r="CQ244" s="871"/>
      <c r="CR244" s="912"/>
      <c r="CS244" s="583"/>
      <c r="CT244" s="584"/>
      <c r="CU244" s="871"/>
      <c r="CV244" s="871"/>
      <c r="CW244" s="871"/>
      <c r="CX244" s="871"/>
      <c r="CY244" s="871"/>
      <c r="CZ244" s="912"/>
      <c r="DA244" s="583"/>
      <c r="DB244" s="584"/>
      <c r="DC244" s="871"/>
      <c r="DD244" s="871"/>
      <c r="DE244" s="871"/>
      <c r="DF244" s="871"/>
      <c r="DG244" s="871"/>
      <c r="DH244" s="912"/>
      <c r="DI244" s="583"/>
      <c r="DJ244" s="584"/>
      <c r="DK244" s="871"/>
      <c r="DL244" s="871"/>
      <c r="DM244" s="871"/>
      <c r="DN244" s="871"/>
      <c r="DO244" s="871"/>
      <c r="DP244" s="912"/>
      <c r="DQ244" s="583"/>
      <c r="DR244" s="584"/>
      <c r="DS244" s="871"/>
      <c r="DT244" s="871"/>
      <c r="DU244" s="871"/>
      <c r="DV244" s="871"/>
      <c r="DW244" s="871"/>
      <c r="DX244" s="912"/>
      <c r="DY244" s="583"/>
      <c r="DZ244" s="584"/>
      <c r="EA244" s="871"/>
      <c r="EB244" s="871"/>
      <c r="EC244" s="871"/>
      <c r="ED244" s="871"/>
      <c r="EE244" s="871"/>
      <c r="EF244" s="912"/>
      <c r="EG244" s="583"/>
      <c r="EH244" s="584"/>
      <c r="EI244" s="871"/>
      <c r="EJ244" s="871"/>
      <c r="EK244" s="871"/>
      <c r="EL244" s="871"/>
      <c r="EM244" s="871"/>
      <c r="EN244" s="912"/>
      <c r="EO244" s="583"/>
      <c r="EP244" s="584"/>
      <c r="EQ244" s="871"/>
      <c r="ER244" s="871"/>
      <c r="ES244" s="871"/>
      <c r="ET244" s="871"/>
      <c r="EU244" s="871"/>
      <c r="EV244" s="912"/>
      <c r="EW244" s="583"/>
      <c r="EX244" s="584"/>
      <c r="EY244" s="871"/>
      <c r="EZ244" s="871"/>
      <c r="FA244" s="871"/>
      <c r="FB244" s="871"/>
      <c r="FC244" s="871"/>
      <c r="FD244" s="912"/>
      <c r="FE244" s="583"/>
      <c r="FF244" s="584"/>
      <c r="FG244" s="871"/>
      <c r="FH244" s="871"/>
      <c r="FI244" s="871"/>
      <c r="FJ244" s="871"/>
      <c r="FK244" s="871"/>
      <c r="FL244" s="912"/>
      <c r="FM244" s="583"/>
      <c r="FN244" s="584"/>
      <c r="FO244" s="871"/>
      <c r="FP244" s="871"/>
      <c r="FQ244" s="871"/>
      <c r="FR244" s="871"/>
      <c r="FS244" s="871"/>
      <c r="FT244" s="912"/>
      <c r="FU244" s="583"/>
      <c r="FV244" s="584"/>
      <c r="FW244" s="871"/>
      <c r="FX244" s="871"/>
      <c r="FY244" s="871"/>
      <c r="FZ244" s="871"/>
      <c r="GA244" s="871"/>
      <c r="GB244" s="912"/>
      <c r="GC244" s="583"/>
      <c r="GD244" s="584"/>
      <c r="GE244" s="871"/>
      <c r="GF244" s="871"/>
      <c r="GG244" s="871"/>
      <c r="GH244" s="871"/>
      <c r="GI244" s="871"/>
      <c r="GJ244" s="912"/>
      <c r="GK244" s="583"/>
      <c r="GL244" s="584"/>
      <c r="GM244" s="871"/>
      <c r="GN244" s="871"/>
      <c r="GO244" s="871"/>
      <c r="GP244" s="871"/>
      <c r="GQ244" s="871"/>
      <c r="GR244" s="912"/>
      <c r="GS244" s="583"/>
      <c r="GT244" s="584"/>
      <c r="GU244" s="871"/>
      <c r="GV244" s="871"/>
      <c r="GW244" s="871"/>
      <c r="GX244" s="871"/>
      <c r="GY244" s="871"/>
      <c r="GZ244" s="912"/>
      <c r="HA244" s="583"/>
      <c r="HB244" s="584"/>
      <c r="HC244" s="871"/>
      <c r="HD244" s="871"/>
      <c r="HE244" s="871"/>
      <c r="HF244" s="871"/>
      <c r="HG244" s="871"/>
      <c r="HH244" s="912"/>
      <c r="HI244" s="583"/>
      <c r="HJ244" s="584"/>
      <c r="HK244" s="871"/>
      <c r="HL244" s="871"/>
      <c r="HM244" s="871"/>
      <c r="HN244" s="871"/>
      <c r="HO244" s="871"/>
      <c r="HP244" s="912"/>
      <c r="HQ244" s="583"/>
      <c r="HR244" s="584"/>
      <c r="HS244" s="871"/>
      <c r="HT244" s="871"/>
      <c r="HU244" s="871"/>
      <c r="HV244" s="871"/>
      <c r="HW244" s="871"/>
      <c r="HX244" s="912"/>
      <c r="HY244" s="583"/>
      <c r="HZ244" s="584"/>
      <c r="IA244" s="871"/>
      <c r="IB244" s="871"/>
      <c r="IC244" s="871"/>
      <c r="ID244" s="871"/>
      <c r="IE244" s="871"/>
      <c r="IF244" s="912"/>
      <c r="IG244" s="583"/>
      <c r="IH244" s="584"/>
      <c r="II244" s="871"/>
      <c r="IJ244" s="871"/>
      <c r="IK244" s="871"/>
      <c r="IL244" s="871"/>
      <c r="IM244" s="871"/>
      <c r="IN244" s="912"/>
      <c r="IO244" s="583"/>
      <c r="IP244" s="584"/>
      <c r="IQ244" s="871"/>
      <c r="IR244" s="871"/>
      <c r="IS244" s="871"/>
      <c r="IT244" s="871"/>
      <c r="IU244" s="871"/>
      <c r="IV244" s="912"/>
    </row>
    <row r="245" spans="1:256" ht="18.75" customHeight="1" hidden="1">
      <c r="A245" s="640"/>
      <c r="B245" s="640"/>
      <c r="C245" s="686"/>
      <c r="D245" s="686"/>
      <c r="E245" s="686"/>
      <c r="F245" s="686"/>
      <c r="G245" s="686"/>
      <c r="H245" s="686"/>
      <c r="I245" s="584"/>
      <c r="J245" s="596"/>
      <c r="K245" s="597"/>
      <c r="L245" s="597"/>
      <c r="M245" s="597"/>
      <c r="N245" s="597"/>
      <c r="O245" s="597"/>
      <c r="P245" s="597"/>
      <c r="Q245" s="596"/>
      <c r="R245" s="596"/>
      <c r="S245" s="597"/>
      <c r="T245" s="597"/>
      <c r="U245" s="597"/>
      <c r="V245" s="597"/>
      <c r="W245" s="597"/>
      <c r="X245" s="597"/>
      <c r="Y245" s="596"/>
      <c r="Z245" s="596"/>
      <c r="AA245" s="597"/>
      <c r="AB245" s="597"/>
      <c r="AC245" s="597"/>
      <c r="AD245" s="597"/>
      <c r="AE245" s="597"/>
      <c r="AF245" s="597"/>
      <c r="AG245" s="596"/>
      <c r="AH245" s="596"/>
      <c r="AI245" s="597"/>
      <c r="AJ245" s="597"/>
      <c r="AK245" s="597"/>
      <c r="AL245" s="597"/>
      <c r="AM245" s="597"/>
      <c r="AN245" s="597"/>
      <c r="AO245" s="596"/>
      <c r="AP245" s="596"/>
      <c r="AQ245" s="597"/>
      <c r="AR245" s="597"/>
      <c r="AS245" s="597"/>
      <c r="AT245" s="597"/>
      <c r="AU245" s="597"/>
      <c r="AV245" s="597"/>
      <c r="AW245" s="596"/>
      <c r="AX245" s="596"/>
      <c r="AY245" s="597"/>
      <c r="AZ245" s="597"/>
      <c r="BA245" s="597"/>
      <c r="BB245" s="597"/>
      <c r="BC245" s="597"/>
      <c r="BD245" s="597"/>
      <c r="BE245" s="596"/>
      <c r="BF245" s="596"/>
      <c r="BG245" s="597"/>
      <c r="BH245" s="597"/>
      <c r="BI245" s="597"/>
      <c r="BJ245" s="597"/>
      <c r="BK245" s="597"/>
      <c r="BL245" s="597"/>
      <c r="BM245" s="596"/>
      <c r="BN245" s="596"/>
      <c r="BO245" s="597"/>
      <c r="BP245" s="597"/>
      <c r="BQ245" s="597"/>
      <c r="BR245" s="597"/>
      <c r="BS245" s="597"/>
      <c r="BT245" s="597"/>
      <c r="BU245" s="596"/>
      <c r="BV245" s="596"/>
      <c r="BW245" s="597"/>
      <c r="BX245" s="597"/>
      <c r="BY245" s="597"/>
      <c r="BZ245" s="597"/>
      <c r="CA245" s="597"/>
      <c r="CB245" s="597"/>
      <c r="CC245" s="596"/>
      <c r="CD245" s="596"/>
      <c r="CE245" s="597"/>
      <c r="CF245" s="597"/>
      <c r="CG245" s="597"/>
      <c r="CH245" s="597"/>
      <c r="CI245" s="597"/>
      <c r="CJ245" s="597"/>
      <c r="CK245" s="596"/>
      <c r="CL245" s="596"/>
      <c r="CM245" s="597"/>
      <c r="CN245" s="597"/>
      <c r="CO245" s="597"/>
      <c r="CP245" s="597"/>
      <c r="CQ245" s="597"/>
      <c r="CR245" s="597"/>
      <c r="CS245" s="596"/>
      <c r="CT245" s="596"/>
      <c r="CU245" s="597"/>
      <c r="CV245" s="597"/>
      <c r="CW245" s="597"/>
      <c r="CX245" s="597"/>
      <c r="CY245" s="597"/>
      <c r="CZ245" s="597"/>
      <c r="DA245" s="596"/>
      <c r="DB245" s="596"/>
      <c r="DC245" s="597"/>
      <c r="DD245" s="597"/>
      <c r="DE245" s="597"/>
      <c r="DF245" s="597"/>
      <c r="DG245" s="597"/>
      <c r="DH245" s="597"/>
      <c r="DI245" s="596"/>
      <c r="DJ245" s="596"/>
      <c r="DK245" s="597"/>
      <c r="DL245" s="597"/>
      <c r="DM245" s="597"/>
      <c r="DN245" s="597"/>
      <c r="DO245" s="597"/>
      <c r="DP245" s="597"/>
      <c r="DQ245" s="596"/>
      <c r="DR245" s="596"/>
      <c r="DS245" s="597"/>
      <c r="DT245" s="597"/>
      <c r="DU245" s="597"/>
      <c r="DV245" s="597"/>
      <c r="DW245" s="597"/>
      <c r="DX245" s="597"/>
      <c r="DY245" s="596"/>
      <c r="DZ245" s="596"/>
      <c r="EA245" s="597"/>
      <c r="EB245" s="597"/>
      <c r="EC245" s="597"/>
      <c r="ED245" s="597"/>
      <c r="EE245" s="597"/>
      <c r="EF245" s="597"/>
      <c r="EG245" s="596"/>
      <c r="EH245" s="596"/>
      <c r="EI245" s="597"/>
      <c r="EJ245" s="597"/>
      <c r="EK245" s="597"/>
      <c r="EL245" s="597"/>
      <c r="EM245" s="597"/>
      <c r="EN245" s="597"/>
      <c r="EO245" s="596"/>
      <c r="EP245" s="596"/>
      <c r="EQ245" s="597"/>
      <c r="ER245" s="597"/>
      <c r="ES245" s="597"/>
      <c r="ET245" s="597"/>
      <c r="EU245" s="597"/>
      <c r="EV245" s="597"/>
      <c r="EW245" s="596"/>
      <c r="EX245" s="596"/>
      <c r="EY245" s="597"/>
      <c r="EZ245" s="597"/>
      <c r="FA245" s="597"/>
      <c r="FB245" s="597"/>
      <c r="FC245" s="597"/>
      <c r="FD245" s="597"/>
      <c r="FE245" s="596"/>
      <c r="FF245" s="596"/>
      <c r="FG245" s="597"/>
      <c r="FH245" s="597"/>
      <c r="FI245" s="597"/>
      <c r="FJ245" s="597"/>
      <c r="FK245" s="597"/>
      <c r="FL245" s="597"/>
      <c r="FM245" s="596"/>
      <c r="FN245" s="596"/>
      <c r="FO245" s="597"/>
      <c r="FP245" s="597"/>
      <c r="FQ245" s="597"/>
      <c r="FR245" s="597"/>
      <c r="FS245" s="597"/>
      <c r="FT245" s="597"/>
      <c r="FU245" s="596"/>
      <c r="FV245" s="596"/>
      <c r="FW245" s="597"/>
      <c r="FX245" s="597"/>
      <c r="FY245" s="597"/>
      <c r="FZ245" s="597"/>
      <c r="GA245" s="597"/>
      <c r="GB245" s="597"/>
      <c r="GC245" s="596"/>
      <c r="GD245" s="596"/>
      <c r="GE245" s="597"/>
      <c r="GF245" s="597"/>
      <c r="GG245" s="597"/>
      <c r="GH245" s="597"/>
      <c r="GI245" s="597"/>
      <c r="GJ245" s="597"/>
      <c r="GK245" s="596"/>
      <c r="GL245" s="596"/>
      <c r="GM245" s="597"/>
      <c r="GN245" s="597"/>
      <c r="GO245" s="597"/>
      <c r="GP245" s="597"/>
      <c r="GQ245" s="597"/>
      <c r="GR245" s="597"/>
      <c r="GS245" s="596"/>
      <c r="GT245" s="596"/>
      <c r="GU245" s="597"/>
      <c r="GV245" s="597"/>
      <c r="GW245" s="597"/>
      <c r="GX245" s="597"/>
      <c r="GY245" s="597"/>
      <c r="GZ245" s="597"/>
      <c r="HA245" s="596"/>
      <c r="HB245" s="596"/>
      <c r="HC245" s="597"/>
      <c r="HD245" s="597"/>
      <c r="HE245" s="597"/>
      <c r="HF245" s="597"/>
      <c r="HG245" s="597"/>
      <c r="HH245" s="597"/>
      <c r="HI245" s="596"/>
      <c r="HJ245" s="596"/>
      <c r="HK245" s="597"/>
      <c r="HL245" s="597"/>
      <c r="HM245" s="597"/>
      <c r="HN245" s="597"/>
      <c r="HO245" s="597"/>
      <c r="HP245" s="597"/>
      <c r="HQ245" s="596"/>
      <c r="HR245" s="596"/>
      <c r="HS245" s="597"/>
      <c r="HT245" s="597"/>
      <c r="HU245" s="597"/>
      <c r="HV245" s="597"/>
      <c r="HW245" s="597"/>
      <c r="HX245" s="597"/>
      <c r="HY245" s="596"/>
      <c r="HZ245" s="596"/>
      <c r="IA245" s="597"/>
      <c r="IB245" s="597"/>
      <c r="IC245" s="597"/>
      <c r="ID245" s="597"/>
      <c r="IE245" s="597"/>
      <c r="IF245" s="597"/>
      <c r="IG245" s="596"/>
      <c r="IH245" s="596"/>
      <c r="II245" s="597"/>
      <c r="IJ245" s="597"/>
      <c r="IK245" s="597"/>
      <c r="IL245" s="597"/>
      <c r="IM245" s="597"/>
      <c r="IN245" s="597"/>
      <c r="IO245" s="596"/>
      <c r="IP245" s="596"/>
      <c r="IQ245" s="597"/>
      <c r="IR245" s="597"/>
      <c r="IS245" s="597"/>
      <c r="IT245" s="597"/>
      <c r="IU245" s="597"/>
      <c r="IV245" s="597"/>
    </row>
    <row r="246" spans="1:9" ht="21" customHeight="1">
      <c r="A246" s="615" t="s">
        <v>1023</v>
      </c>
      <c r="B246" s="631" t="s">
        <v>935</v>
      </c>
      <c r="C246" s="139" t="s">
        <v>938</v>
      </c>
      <c r="D246" s="109" t="s">
        <v>9</v>
      </c>
      <c r="E246" s="110" t="s">
        <v>34</v>
      </c>
      <c r="F246" s="110">
        <f>E247</f>
        <v>2</v>
      </c>
      <c r="G246" s="491"/>
      <c r="H246" s="491"/>
      <c r="I246" s="491"/>
    </row>
    <row r="247" spans="1:9" ht="76.5" customHeight="1">
      <c r="A247" s="615" t="s">
        <v>8</v>
      </c>
      <c r="B247" s="638"/>
      <c r="C247" s="138" t="s">
        <v>937</v>
      </c>
      <c r="D247" s="111" t="s">
        <v>9</v>
      </c>
      <c r="E247" s="107">
        <v>2</v>
      </c>
      <c r="F247" s="107" t="s">
        <v>34</v>
      </c>
      <c r="G247" s="491"/>
      <c r="H247" s="491"/>
      <c r="I247" s="491"/>
    </row>
    <row r="248" spans="1:9" ht="26.25">
      <c r="A248" s="663" t="s">
        <v>1024</v>
      </c>
      <c r="B248" s="641" t="s">
        <v>920</v>
      </c>
      <c r="C248" s="585" t="s">
        <v>918</v>
      </c>
      <c r="D248" s="580" t="s">
        <v>201</v>
      </c>
      <c r="E248" s="87" t="s">
        <v>34</v>
      </c>
      <c r="F248" s="106">
        <f>E249</f>
        <v>14.04</v>
      </c>
      <c r="G248" s="491"/>
      <c r="H248" s="491"/>
      <c r="I248" s="491"/>
    </row>
    <row r="249" spans="1:9" ht="76.5" customHeight="1">
      <c r="A249" s="613"/>
      <c r="B249" s="688" t="s">
        <v>919</v>
      </c>
      <c r="C249" s="588" t="s">
        <v>939</v>
      </c>
      <c r="D249" s="580" t="s">
        <v>11</v>
      </c>
      <c r="E249" s="589">
        <v>14.04</v>
      </c>
      <c r="F249" s="131" t="s">
        <v>34</v>
      </c>
      <c r="G249" s="491"/>
      <c r="H249" s="491"/>
      <c r="I249" s="491"/>
    </row>
    <row r="250" spans="1:9" ht="26.25">
      <c r="A250" s="663" t="s">
        <v>1025</v>
      </c>
      <c r="B250" s="641" t="s">
        <v>920</v>
      </c>
      <c r="C250" s="585" t="s">
        <v>921</v>
      </c>
      <c r="D250" s="87" t="s">
        <v>771</v>
      </c>
      <c r="E250" s="124" t="s">
        <v>34</v>
      </c>
      <c r="F250" s="106">
        <f>E251</f>
        <v>10</v>
      </c>
      <c r="G250" s="491"/>
      <c r="H250" s="491"/>
      <c r="I250" s="491"/>
    </row>
    <row r="251" spans="1:9" ht="37.5" customHeight="1">
      <c r="A251" s="687"/>
      <c r="B251" s="688" t="s">
        <v>922</v>
      </c>
      <c r="C251" s="588" t="s">
        <v>940</v>
      </c>
      <c r="D251" s="587" t="s">
        <v>11</v>
      </c>
      <c r="E251" s="590">
        <v>10</v>
      </c>
      <c r="F251" s="587" t="s">
        <v>34</v>
      </c>
      <c r="G251" s="491"/>
      <c r="H251" s="491"/>
      <c r="I251" s="491"/>
    </row>
    <row r="252" spans="1:9" ht="39">
      <c r="A252" s="687"/>
      <c r="B252" s="688" t="s">
        <v>923</v>
      </c>
      <c r="C252" s="588" t="s">
        <v>941</v>
      </c>
      <c r="D252" s="591" t="s">
        <v>11</v>
      </c>
      <c r="E252" s="492">
        <v>10</v>
      </c>
      <c r="F252" s="131" t="s">
        <v>34</v>
      </c>
      <c r="G252" s="491"/>
      <c r="H252" s="491"/>
      <c r="I252" s="491"/>
    </row>
    <row r="253" spans="1:9" ht="35.25" customHeight="1">
      <c r="A253" s="615"/>
      <c r="B253" s="638"/>
      <c r="C253" s="598" t="s">
        <v>925</v>
      </c>
      <c r="D253" s="111" t="s">
        <v>771</v>
      </c>
      <c r="E253" s="107">
        <v>2</v>
      </c>
      <c r="F253" s="107"/>
      <c r="G253" s="491"/>
      <c r="H253" s="491"/>
      <c r="I253" s="491"/>
    </row>
    <row r="254" spans="1:9" ht="43.5" customHeight="1">
      <c r="A254" s="615"/>
      <c r="B254" s="638"/>
      <c r="C254" s="599" t="s">
        <v>942</v>
      </c>
      <c r="D254" s="111" t="s">
        <v>11</v>
      </c>
      <c r="E254" s="107">
        <v>10</v>
      </c>
      <c r="F254" s="107"/>
      <c r="G254" s="491"/>
      <c r="H254" s="491"/>
      <c r="I254" s="491"/>
    </row>
    <row r="255" spans="1:9" ht="26.25">
      <c r="A255" s="615"/>
      <c r="B255" s="638"/>
      <c r="C255" s="599" t="s">
        <v>944</v>
      </c>
      <c r="D255" s="111" t="s">
        <v>9</v>
      </c>
      <c r="E255" s="107">
        <v>2</v>
      </c>
      <c r="F255" s="107"/>
      <c r="G255" s="491"/>
      <c r="H255" s="491"/>
      <c r="I255" s="491"/>
    </row>
    <row r="256" spans="1:9" ht="26.25">
      <c r="A256" s="615"/>
      <c r="B256" s="638"/>
      <c r="C256" s="599" t="s">
        <v>926</v>
      </c>
      <c r="D256" s="111" t="s">
        <v>771</v>
      </c>
      <c r="E256" s="107">
        <v>1</v>
      </c>
      <c r="F256" s="107"/>
      <c r="G256" s="491"/>
      <c r="H256" s="491"/>
      <c r="I256" s="491"/>
    </row>
    <row r="257" spans="1:9" ht="39">
      <c r="A257" s="615"/>
      <c r="B257" s="638"/>
      <c r="C257" s="600" t="s">
        <v>945</v>
      </c>
      <c r="D257" s="111" t="s">
        <v>11</v>
      </c>
      <c r="E257" s="107">
        <v>10</v>
      </c>
      <c r="F257" s="107"/>
      <c r="G257" s="491"/>
      <c r="H257" s="491"/>
      <c r="I257" s="491"/>
    </row>
    <row r="258" spans="1:9" ht="76.5" customHeight="1" hidden="1">
      <c r="A258" s="615"/>
      <c r="B258" s="638"/>
      <c r="C258" s="138"/>
      <c r="D258" s="111"/>
      <c r="E258" s="107"/>
      <c r="F258" s="107"/>
      <c r="G258" s="491"/>
      <c r="H258" s="491"/>
      <c r="I258" s="491"/>
    </row>
    <row r="259" spans="1:9" ht="39.75" customHeight="1">
      <c r="A259" s="609" t="s">
        <v>1029</v>
      </c>
      <c r="B259" s="847" t="s">
        <v>915</v>
      </c>
      <c r="C259" s="847"/>
      <c r="D259" s="847"/>
      <c r="E259" s="847"/>
      <c r="F259" s="847"/>
      <c r="G259" s="847"/>
      <c r="H259" s="847"/>
      <c r="I259" s="847"/>
    </row>
    <row r="260" spans="1:9" ht="35.25" customHeight="1">
      <c r="A260" s="610" t="s">
        <v>1048</v>
      </c>
      <c r="B260" s="610" t="s">
        <v>914</v>
      </c>
      <c r="C260" s="816" t="s">
        <v>913</v>
      </c>
      <c r="D260" s="816"/>
      <c r="E260" s="816"/>
      <c r="F260" s="816"/>
      <c r="G260" s="816"/>
      <c r="H260" s="816"/>
      <c r="I260" s="816"/>
    </row>
    <row r="261" spans="1:9" ht="17.25" customHeight="1">
      <c r="A261" s="640" t="s">
        <v>34</v>
      </c>
      <c r="B261" s="640" t="s">
        <v>916</v>
      </c>
      <c r="C261" s="871" t="s">
        <v>917</v>
      </c>
      <c r="D261" s="871"/>
      <c r="E261" s="871"/>
      <c r="F261" s="871"/>
      <c r="G261" s="871"/>
      <c r="H261" s="871"/>
      <c r="I261" s="491"/>
    </row>
    <row r="262" spans="1:9" ht="27" customHeight="1">
      <c r="A262" s="663" t="s">
        <v>1026</v>
      </c>
      <c r="B262" s="641" t="s">
        <v>929</v>
      </c>
      <c r="C262" s="585" t="s">
        <v>928</v>
      </c>
      <c r="D262" s="577" t="s">
        <v>11</v>
      </c>
      <c r="E262" s="87" t="s">
        <v>34</v>
      </c>
      <c r="F262" s="106">
        <f>E263</f>
        <v>16</v>
      </c>
      <c r="G262" s="586"/>
      <c r="H262" s="586"/>
      <c r="I262" s="491"/>
    </row>
    <row r="263" spans="1:9" ht="39.75" customHeight="1">
      <c r="A263" s="613"/>
      <c r="B263" s="688" t="s">
        <v>927</v>
      </c>
      <c r="C263" s="588" t="s">
        <v>1052</v>
      </c>
      <c r="D263" s="580" t="s">
        <v>11</v>
      </c>
      <c r="E263" s="589">
        <v>16</v>
      </c>
      <c r="F263" s="131" t="s">
        <v>34</v>
      </c>
      <c r="G263" s="492"/>
      <c r="H263" s="492"/>
      <c r="I263" s="491"/>
    </row>
    <row r="264" spans="1:9" ht="26.25">
      <c r="A264" s="663" t="s">
        <v>1051</v>
      </c>
      <c r="B264" s="641" t="s">
        <v>920</v>
      </c>
      <c r="C264" s="585" t="s">
        <v>921</v>
      </c>
      <c r="D264" s="87" t="s">
        <v>771</v>
      </c>
      <c r="E264" s="124" t="s">
        <v>34</v>
      </c>
      <c r="F264" s="106">
        <f>E265</f>
        <v>16</v>
      </c>
      <c r="G264" s="492"/>
      <c r="H264" s="492"/>
      <c r="I264" s="491"/>
    </row>
    <row r="265" spans="1:9" ht="39">
      <c r="A265" s="687"/>
      <c r="B265" s="688" t="s">
        <v>922</v>
      </c>
      <c r="C265" s="588" t="s">
        <v>930</v>
      </c>
      <c r="D265" s="587" t="s">
        <v>11</v>
      </c>
      <c r="E265" s="590">
        <v>16</v>
      </c>
      <c r="F265" s="587" t="s">
        <v>34</v>
      </c>
      <c r="G265" s="492"/>
      <c r="H265" s="492"/>
      <c r="I265" s="491"/>
    </row>
    <row r="266" spans="1:11" ht="39">
      <c r="A266" s="687"/>
      <c r="B266" s="688" t="s">
        <v>923</v>
      </c>
      <c r="C266" s="588" t="s">
        <v>946</v>
      </c>
      <c r="D266" s="591" t="s">
        <v>11</v>
      </c>
      <c r="E266" s="492">
        <v>15</v>
      </c>
      <c r="F266" s="131" t="s">
        <v>34</v>
      </c>
      <c r="G266" s="492"/>
      <c r="H266" s="492"/>
      <c r="I266" s="491"/>
      <c r="K266" s="275"/>
    </row>
    <row r="267" spans="1:9" ht="26.25">
      <c r="A267" s="872"/>
      <c r="B267" s="873" t="s">
        <v>924</v>
      </c>
      <c r="C267" s="588" t="s">
        <v>925</v>
      </c>
      <c r="D267" s="591" t="s">
        <v>771</v>
      </c>
      <c r="E267" s="492">
        <v>2</v>
      </c>
      <c r="F267" s="131" t="s">
        <v>34</v>
      </c>
      <c r="G267" s="492"/>
      <c r="H267" s="492"/>
      <c r="I267" s="491"/>
    </row>
    <row r="268" spans="1:9" ht="26.25">
      <c r="A268" s="872"/>
      <c r="B268" s="873"/>
      <c r="C268" s="588" t="s">
        <v>933</v>
      </c>
      <c r="D268" s="591" t="s">
        <v>771</v>
      </c>
      <c r="E268" s="492">
        <v>1</v>
      </c>
      <c r="F268" s="131" t="s">
        <v>34</v>
      </c>
      <c r="G268" s="492"/>
      <c r="H268" s="492"/>
      <c r="I268" s="491"/>
    </row>
    <row r="269" spans="1:9" ht="39" customHeight="1">
      <c r="A269" s="872"/>
      <c r="B269" s="873"/>
      <c r="C269" s="592" t="s">
        <v>934</v>
      </c>
      <c r="D269" s="591" t="s">
        <v>11</v>
      </c>
      <c r="E269" s="492">
        <v>16</v>
      </c>
      <c r="F269" s="131" t="s">
        <v>34</v>
      </c>
      <c r="G269" s="492"/>
      <c r="H269" s="492"/>
      <c r="I269" s="491"/>
    </row>
    <row r="270" spans="1:9" ht="26.25">
      <c r="A270" s="872"/>
      <c r="B270" s="873"/>
      <c r="C270" s="592" t="s">
        <v>943</v>
      </c>
      <c r="D270" s="593" t="s">
        <v>771</v>
      </c>
      <c r="E270" s="131">
        <v>2</v>
      </c>
      <c r="F270" s="131" t="s">
        <v>34</v>
      </c>
      <c r="G270" s="491"/>
      <c r="H270" s="491"/>
      <c r="I270" s="491"/>
    </row>
    <row r="271" spans="1:9" ht="26.25">
      <c r="A271" s="872"/>
      <c r="B271" s="873"/>
      <c r="C271" s="592" t="s">
        <v>926</v>
      </c>
      <c r="D271" s="594" t="s">
        <v>771</v>
      </c>
      <c r="E271" s="131">
        <v>1</v>
      </c>
      <c r="F271" s="131" t="s">
        <v>34</v>
      </c>
      <c r="G271" s="491"/>
      <c r="H271" s="491"/>
      <c r="I271" s="491"/>
    </row>
    <row r="272" spans="1:9" ht="39">
      <c r="A272" s="872"/>
      <c r="B272" s="873"/>
      <c r="C272" s="592" t="s">
        <v>931</v>
      </c>
      <c r="D272" s="594" t="s">
        <v>11</v>
      </c>
      <c r="E272" s="131">
        <v>16</v>
      </c>
      <c r="F272" s="131" t="s">
        <v>34</v>
      </c>
      <c r="G272" s="491"/>
      <c r="H272" s="491"/>
      <c r="I272" s="491"/>
    </row>
  </sheetData>
  <sheetProtection/>
  <autoFilter ref="A3:F207"/>
  <mergeCells count="110">
    <mergeCell ref="IQ244:IV244"/>
    <mergeCell ref="GU244:GZ244"/>
    <mergeCell ref="HC244:HH244"/>
    <mergeCell ref="HK244:HP244"/>
    <mergeCell ref="HS244:HX244"/>
    <mergeCell ref="IA244:IF244"/>
    <mergeCell ref="II244:IN244"/>
    <mergeCell ref="EY244:FD244"/>
    <mergeCell ref="FG244:FL244"/>
    <mergeCell ref="FO244:FT244"/>
    <mergeCell ref="FW244:GB244"/>
    <mergeCell ref="GE244:GJ244"/>
    <mergeCell ref="GM244:GR244"/>
    <mergeCell ref="DC244:DH244"/>
    <mergeCell ref="DK244:DP244"/>
    <mergeCell ref="DS244:DX244"/>
    <mergeCell ref="EA244:EF244"/>
    <mergeCell ref="EI244:EN244"/>
    <mergeCell ref="EQ244:EV244"/>
    <mergeCell ref="BG244:BL244"/>
    <mergeCell ref="BO244:BT244"/>
    <mergeCell ref="BW244:CB244"/>
    <mergeCell ref="CE244:CJ244"/>
    <mergeCell ref="CM244:CR244"/>
    <mergeCell ref="CU244:CZ244"/>
    <mergeCell ref="K244:P244"/>
    <mergeCell ref="S244:X244"/>
    <mergeCell ref="AA244:AF244"/>
    <mergeCell ref="AI244:AN244"/>
    <mergeCell ref="AQ244:AV244"/>
    <mergeCell ref="AY244:BD244"/>
    <mergeCell ref="B259:I259"/>
    <mergeCell ref="C260:I260"/>
    <mergeCell ref="C261:H261"/>
    <mergeCell ref="H1:I1"/>
    <mergeCell ref="C6:F6"/>
    <mergeCell ref="H4:I4"/>
    <mergeCell ref="H11:I11"/>
    <mergeCell ref="H2:I2"/>
    <mergeCell ref="C5:F5"/>
    <mergeCell ref="A1:F1"/>
    <mergeCell ref="A2:F2"/>
    <mergeCell ref="C10:F10"/>
    <mergeCell ref="C11:F11"/>
    <mergeCell ref="H5:I5"/>
    <mergeCell ref="H9:I9"/>
    <mergeCell ref="H10:I10"/>
    <mergeCell ref="B4:F4"/>
    <mergeCell ref="B9:F9"/>
    <mergeCell ref="H24:I24"/>
    <mergeCell ref="C57:F57"/>
    <mergeCell ref="C126:F126"/>
    <mergeCell ref="C68:F68"/>
    <mergeCell ref="H140:I140"/>
    <mergeCell ref="H115:I115"/>
    <mergeCell ref="H129:I129"/>
    <mergeCell ref="C76:F76"/>
    <mergeCell ref="A267:A272"/>
    <mergeCell ref="B267:B272"/>
    <mergeCell ref="C244:H244"/>
    <mergeCell ref="H106:I106"/>
    <mergeCell ref="C24:F24"/>
    <mergeCell ref="C97:F97"/>
    <mergeCell ref="C63:F63"/>
    <mergeCell ref="C100:F100"/>
    <mergeCell ref="C208:I208"/>
    <mergeCell ref="C216:F216"/>
    <mergeCell ref="C79:F79"/>
    <mergeCell ref="H139:I139"/>
    <mergeCell ref="C138:F138"/>
    <mergeCell ref="C135:F135"/>
    <mergeCell ref="C176:F176"/>
    <mergeCell ref="C161:F161"/>
    <mergeCell ref="C14:F14"/>
    <mergeCell ref="C205:F205"/>
    <mergeCell ref="C112:F112"/>
    <mergeCell ref="H204:I204"/>
    <mergeCell ref="H19:I19"/>
    <mergeCell ref="C19:F19"/>
    <mergeCell ref="C147:F147"/>
    <mergeCell ref="C103:F103"/>
    <mergeCell ref="C168:F168"/>
    <mergeCell ref="H126:I126"/>
    <mergeCell ref="C69:F69"/>
    <mergeCell ref="H97:I97"/>
    <mergeCell ref="C197:F197"/>
    <mergeCell ref="C200:F200"/>
    <mergeCell ref="C196:F196"/>
    <mergeCell ref="C173:F173"/>
    <mergeCell ref="C122:F122"/>
    <mergeCell ref="C96:F96"/>
    <mergeCell ref="C164:F164"/>
    <mergeCell ref="C123:F123"/>
    <mergeCell ref="C117:F117"/>
    <mergeCell ref="C139:F139"/>
    <mergeCell ref="C150:F150"/>
    <mergeCell ref="C58:F58"/>
    <mergeCell ref="B153:B156"/>
    <mergeCell ref="A153:A156"/>
    <mergeCell ref="C217:F217"/>
    <mergeCell ref="B234:I234"/>
    <mergeCell ref="C235:I235"/>
    <mergeCell ref="B242:I242"/>
    <mergeCell ref="C243:I243"/>
    <mergeCell ref="B226:F226"/>
    <mergeCell ref="C227:F227"/>
    <mergeCell ref="C228:F228"/>
    <mergeCell ref="C223:F223"/>
    <mergeCell ref="B238:I238"/>
    <mergeCell ref="C239:I239"/>
  </mergeCells>
  <printOptions/>
  <pageMargins left="0.7" right="0.7" top="0.75" bottom="0.75" header="0.3" footer="0.3"/>
  <pageSetup fitToHeight="0" fitToWidth="1" horizontalDpi="600" verticalDpi="600" orientation="portrait" paperSize="9" scale="70" r:id="rId1"/>
  <rowBreaks count="6" manualBreakCount="6">
    <brk id="27" max="5" man="1"/>
    <brk id="67" max="5" man="1"/>
    <brk id="149" max="5" man="1"/>
    <brk id="199" max="5" man="1"/>
    <brk id="225" max="5" man="1"/>
    <brk id="258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2:AF53"/>
  <sheetViews>
    <sheetView view="pageBreakPreview" zoomScale="40" zoomScaleNormal="70" zoomScaleSheetLayoutView="40" zoomScalePageLayoutView="40" workbookViewId="0" topLeftCell="A1">
      <selection activeCell="C67" sqref="C67"/>
    </sheetView>
  </sheetViews>
  <sheetFormatPr defaultColWidth="9.125" defaultRowHeight="12.75"/>
  <cols>
    <col min="1" max="2" width="14.375" style="246" customWidth="1"/>
    <col min="3" max="3" width="12.375" style="246" customWidth="1"/>
    <col min="4" max="4" width="20.50390625" style="246" customWidth="1"/>
    <col min="5" max="5" width="14.50390625" style="246" customWidth="1"/>
    <col min="6" max="6" width="13.00390625" style="246" customWidth="1"/>
    <col min="7" max="7" width="19.50390625" style="246" customWidth="1"/>
    <col min="8" max="8" width="18.00390625" style="246" customWidth="1"/>
    <col min="9" max="9" width="13.125" style="246" customWidth="1"/>
    <col min="10" max="10" width="11.875" style="246" customWidth="1"/>
    <col min="11" max="11" width="11.50390625" style="246" customWidth="1"/>
    <col min="12" max="12" width="10.50390625" style="246" customWidth="1"/>
    <col min="13" max="13" width="14.50390625" style="246" customWidth="1"/>
    <col min="14" max="14" width="7.375" style="246" customWidth="1"/>
    <col min="15" max="15" width="15.875" style="246" hidden="1" customWidth="1"/>
    <col min="16" max="16" width="15.875" style="246" customWidth="1"/>
    <col min="17" max="17" width="13.50390625" style="246" hidden="1" customWidth="1"/>
    <col min="18" max="19" width="13.50390625" style="246" customWidth="1"/>
    <col min="20" max="20" width="13.50390625" style="246" hidden="1" customWidth="1"/>
    <col min="21" max="22" width="15.875" style="246" customWidth="1"/>
    <col min="23" max="27" width="15.875" style="246" hidden="1" customWidth="1"/>
    <col min="28" max="29" width="13.625" style="251" hidden="1" customWidth="1"/>
    <col min="30" max="30" width="18.375" style="246" hidden="1" customWidth="1"/>
    <col min="31" max="31" width="10.50390625" style="246" hidden="1" customWidth="1"/>
    <col min="32" max="32" width="24.125" style="246" customWidth="1"/>
    <col min="33" max="16384" width="9.125" style="246" customWidth="1"/>
  </cols>
  <sheetData>
    <row r="2" spans="1:32" ht="52.5" customHeight="1" thickBot="1">
      <c r="A2" s="535"/>
      <c r="C2" s="917" t="s">
        <v>818</v>
      </c>
      <c r="D2" s="917"/>
      <c r="E2" s="917"/>
      <c r="F2" s="917"/>
      <c r="G2" s="917"/>
      <c r="H2" s="917"/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245"/>
      <c r="AF2" s="350"/>
    </row>
    <row r="3" spans="1:32" ht="61.5" customHeight="1">
      <c r="A3" s="920" t="s">
        <v>505</v>
      </c>
      <c r="B3" s="921"/>
      <c r="C3" s="921"/>
      <c r="D3" s="921"/>
      <c r="E3" s="921"/>
      <c r="F3" s="921"/>
      <c r="G3" s="921"/>
      <c r="H3" s="921"/>
      <c r="I3" s="466"/>
      <c r="J3" s="466"/>
      <c r="K3" s="466"/>
      <c r="L3" s="466"/>
      <c r="M3" s="924" t="s">
        <v>547</v>
      </c>
      <c r="N3" s="924"/>
      <c r="O3" s="924"/>
      <c r="P3" s="924"/>
      <c r="Q3" s="925"/>
      <c r="R3" s="459"/>
      <c r="S3" s="459"/>
      <c r="T3" s="459"/>
      <c r="U3" s="916" t="s">
        <v>755</v>
      </c>
      <c r="V3" s="916"/>
      <c r="W3" s="916" t="s">
        <v>54</v>
      </c>
      <c r="X3" s="916"/>
      <c r="Y3" s="916"/>
      <c r="Z3" s="352" t="s">
        <v>511</v>
      </c>
      <c r="AA3" s="353" t="s">
        <v>549</v>
      </c>
      <c r="AB3" s="354"/>
      <c r="AC3" s="354"/>
      <c r="AD3" s="354"/>
      <c r="AE3" s="355"/>
      <c r="AF3" s="356" t="s">
        <v>548</v>
      </c>
    </row>
    <row r="4" spans="1:32" ht="105">
      <c r="A4" s="357" t="s">
        <v>526</v>
      </c>
      <c r="B4" s="460" t="s">
        <v>728</v>
      </c>
      <c r="C4" s="257" t="s">
        <v>829</v>
      </c>
      <c r="D4" s="257" t="s">
        <v>413</v>
      </c>
      <c r="E4" s="257" t="s">
        <v>414</v>
      </c>
      <c r="F4" s="257" t="s">
        <v>415</v>
      </c>
      <c r="G4" s="257" t="s">
        <v>416</v>
      </c>
      <c r="H4" s="257" t="s">
        <v>726</v>
      </c>
      <c r="I4" s="257" t="s">
        <v>418</v>
      </c>
      <c r="J4" s="257" t="s">
        <v>419</v>
      </c>
      <c r="K4" s="257" t="s">
        <v>420</v>
      </c>
      <c r="L4" s="257" t="s">
        <v>421</v>
      </c>
      <c r="M4" s="918" t="s">
        <v>516</v>
      </c>
      <c r="N4" s="919"/>
      <c r="O4" s="256" t="s">
        <v>422</v>
      </c>
      <c r="P4" s="256" t="s">
        <v>530</v>
      </c>
      <c r="Q4" s="256" t="s">
        <v>517</v>
      </c>
      <c r="R4" s="256" t="s">
        <v>729</v>
      </c>
      <c r="S4" s="256" t="s">
        <v>827</v>
      </c>
      <c r="T4" s="256" t="s">
        <v>729</v>
      </c>
      <c r="U4" s="256" t="s">
        <v>506</v>
      </c>
      <c r="V4" s="256" t="s">
        <v>770</v>
      </c>
      <c r="W4" s="256" t="s">
        <v>509</v>
      </c>
      <c r="X4" s="256" t="s">
        <v>508</v>
      </c>
      <c r="Y4" s="256" t="s">
        <v>510</v>
      </c>
      <c r="Z4" s="430" t="s">
        <v>646</v>
      </c>
      <c r="AA4" s="256" t="s">
        <v>531</v>
      </c>
      <c r="AB4" s="256" t="s">
        <v>423</v>
      </c>
      <c r="AC4" s="256" t="s">
        <v>424</v>
      </c>
      <c r="AD4" s="256" t="s">
        <v>425</v>
      </c>
      <c r="AE4" s="256" t="s">
        <v>426</v>
      </c>
      <c r="AF4" s="358" t="s">
        <v>427</v>
      </c>
    </row>
    <row r="5" spans="1:32" s="347" customFormat="1" ht="30.75" customHeight="1">
      <c r="A5" s="926" t="s">
        <v>763</v>
      </c>
      <c r="B5" s="463" t="s">
        <v>826</v>
      </c>
      <c r="C5" s="247" t="s">
        <v>211</v>
      </c>
      <c r="D5" s="247" t="s">
        <v>735</v>
      </c>
      <c r="E5" s="247">
        <v>3.85</v>
      </c>
      <c r="F5" s="247">
        <v>5</v>
      </c>
      <c r="G5" s="247">
        <v>6.75</v>
      </c>
      <c r="H5" s="247" t="s">
        <v>727</v>
      </c>
      <c r="I5" s="250" t="s">
        <v>504</v>
      </c>
      <c r="J5" s="922">
        <v>8.3</v>
      </c>
      <c r="K5" s="922">
        <v>8.3</v>
      </c>
      <c r="L5" s="922" t="s">
        <v>429</v>
      </c>
      <c r="M5" s="247" t="str">
        <f aca="true" t="shared" si="0" ref="M5:M15">H5</f>
        <v>bitumiczna</v>
      </c>
      <c r="N5" s="247">
        <f>F5*E5</f>
        <v>19.25</v>
      </c>
      <c r="O5" s="247" t="s">
        <v>34</v>
      </c>
      <c r="P5" s="247" t="s">
        <v>34</v>
      </c>
      <c r="Q5" s="247" t="s">
        <v>34</v>
      </c>
      <c r="R5" s="247">
        <f>E5</f>
        <v>3.85</v>
      </c>
      <c r="S5" s="247">
        <v>4.5</v>
      </c>
      <c r="T5" s="247">
        <v>1.35</v>
      </c>
      <c r="U5" s="247" t="s">
        <v>34</v>
      </c>
      <c r="V5" s="929">
        <v>22.5</v>
      </c>
      <c r="W5" s="247">
        <f>1.8*5.5</f>
        <v>9.9</v>
      </c>
      <c r="X5" s="247" t="e">
        <f>U5+(5.5+0.8)*(2.6+0.4)</f>
        <v>#VALUE!</v>
      </c>
      <c r="Y5" s="247">
        <f>(2.6+0.15)*(5.5+0.3)</f>
        <v>15.95</v>
      </c>
      <c r="Z5" s="247">
        <f>2.6*0.5*2</f>
        <v>2.6</v>
      </c>
      <c r="AA5" s="247" t="s">
        <v>34</v>
      </c>
      <c r="AB5" s="247" t="s">
        <v>504</v>
      </c>
      <c r="AC5" s="247" t="s">
        <v>34</v>
      </c>
      <c r="AD5" s="247" t="s">
        <v>34</v>
      </c>
      <c r="AE5" s="247" t="s">
        <v>34</v>
      </c>
      <c r="AF5" s="359"/>
    </row>
    <row r="6" spans="1:32" s="347" customFormat="1" ht="30.75" customHeight="1">
      <c r="A6" s="927"/>
      <c r="B6" s="463" t="s">
        <v>828</v>
      </c>
      <c r="C6" s="247" t="s">
        <v>211</v>
      </c>
      <c r="D6" s="247" t="s">
        <v>428</v>
      </c>
      <c r="E6" s="247">
        <f>E5</f>
        <v>3.85</v>
      </c>
      <c r="F6" s="247">
        <v>4.5</v>
      </c>
      <c r="G6" s="247">
        <v>6</v>
      </c>
      <c r="H6" s="247" t="s">
        <v>830</v>
      </c>
      <c r="I6" s="250" t="s">
        <v>504</v>
      </c>
      <c r="J6" s="923"/>
      <c r="K6" s="923"/>
      <c r="L6" s="923"/>
      <c r="M6" s="247" t="s">
        <v>831</v>
      </c>
      <c r="N6" s="247">
        <f>G6*E6</f>
        <v>23.1</v>
      </c>
      <c r="O6" s="247"/>
      <c r="P6" s="247" t="s">
        <v>34</v>
      </c>
      <c r="Q6" s="247" t="s">
        <v>34</v>
      </c>
      <c r="R6" s="247">
        <f>R5</f>
        <v>3.85</v>
      </c>
      <c r="S6" s="247">
        <f>S5</f>
        <v>4.5</v>
      </c>
      <c r="T6" s="247">
        <v>1.35</v>
      </c>
      <c r="U6" s="247" t="s">
        <v>34</v>
      </c>
      <c r="V6" s="930"/>
      <c r="W6" s="247">
        <f>1.8*4.5</f>
        <v>8.1</v>
      </c>
      <c r="X6" s="247" t="e">
        <f>U6+V6*1.32</f>
        <v>#VALUE!</v>
      </c>
      <c r="Y6" s="247">
        <f>V6*1.12</f>
        <v>0</v>
      </c>
      <c r="Z6" s="247">
        <f>3.4*1</f>
        <v>3.4</v>
      </c>
      <c r="AA6" s="247"/>
      <c r="AB6" s="247"/>
      <c r="AC6" s="247"/>
      <c r="AD6" s="247"/>
      <c r="AE6" s="247"/>
      <c r="AF6" s="359"/>
    </row>
    <row r="7" spans="1:32" s="347" customFormat="1" ht="30.75" customHeight="1">
      <c r="A7" s="927"/>
      <c r="B7" s="463" t="s">
        <v>832</v>
      </c>
      <c r="C7" s="247" t="s">
        <v>833</v>
      </c>
      <c r="D7" s="247" t="s">
        <v>428</v>
      </c>
      <c r="E7" s="247">
        <v>2.27</v>
      </c>
      <c r="F7" s="247">
        <v>4.5</v>
      </c>
      <c r="G7" s="247">
        <v>4.75</v>
      </c>
      <c r="H7" s="247" t="s">
        <v>727</v>
      </c>
      <c r="I7" s="250" t="s">
        <v>504</v>
      </c>
      <c r="J7" s="560" t="s">
        <v>504</v>
      </c>
      <c r="K7" s="560" t="s">
        <v>504</v>
      </c>
      <c r="L7" s="560" t="s">
        <v>504</v>
      </c>
      <c r="M7" s="247" t="str">
        <f t="shared" si="0"/>
        <v>bitumiczna</v>
      </c>
      <c r="N7" s="247">
        <f>E7*F7</f>
        <v>10.22</v>
      </c>
      <c r="O7" s="247"/>
      <c r="P7" s="247" t="s">
        <v>34</v>
      </c>
      <c r="Q7" s="247" t="s">
        <v>34</v>
      </c>
      <c r="R7" s="247">
        <v>2.3</v>
      </c>
      <c r="S7" s="247">
        <v>4.6</v>
      </c>
      <c r="T7" s="247">
        <v>1.35</v>
      </c>
      <c r="U7" s="247">
        <v>12.44</v>
      </c>
      <c r="V7" s="247" t="s">
        <v>34</v>
      </c>
      <c r="W7" s="247">
        <f>U7</f>
        <v>12.44</v>
      </c>
      <c r="X7" s="247" t="e">
        <f>U7+V7*1.32</f>
        <v>#VALUE!</v>
      </c>
      <c r="Y7" s="247" t="e">
        <f>V7*1.12</f>
        <v>#VALUE!</v>
      </c>
      <c r="Z7" s="247">
        <f>2.8*1</f>
        <v>2.8</v>
      </c>
      <c r="AA7" s="247"/>
      <c r="AB7" s="247"/>
      <c r="AC7" s="247"/>
      <c r="AD7" s="247"/>
      <c r="AE7" s="247"/>
      <c r="AF7" s="359"/>
    </row>
    <row r="8" spans="1:32" s="347" customFormat="1" ht="60" customHeight="1">
      <c r="A8" s="927"/>
      <c r="B8" s="463" t="s">
        <v>834</v>
      </c>
      <c r="C8" s="247" t="s">
        <v>211</v>
      </c>
      <c r="D8" s="247" t="s">
        <v>735</v>
      </c>
      <c r="E8" s="247">
        <v>4</v>
      </c>
      <c r="F8" s="247">
        <v>5.8</v>
      </c>
      <c r="G8" s="247">
        <f aca="true" t="shared" si="1" ref="G8:G24">F8</f>
        <v>5.8</v>
      </c>
      <c r="H8" s="247" t="s">
        <v>727</v>
      </c>
      <c r="I8" s="250">
        <v>40</v>
      </c>
      <c r="J8" s="560">
        <v>7.5</v>
      </c>
      <c r="K8" s="560">
        <f>J8</f>
        <v>7.5</v>
      </c>
      <c r="L8" s="561" t="s">
        <v>429</v>
      </c>
      <c r="M8" s="247" t="str">
        <f t="shared" si="0"/>
        <v>bitumiczna</v>
      </c>
      <c r="N8" s="247">
        <f>E8*F8</f>
        <v>23.2</v>
      </c>
      <c r="O8" s="247"/>
      <c r="P8" s="247" t="s">
        <v>34</v>
      </c>
      <c r="Q8" s="247">
        <f>2*((7*0.6)*0.24*0.94)</f>
        <v>1.9</v>
      </c>
      <c r="R8" s="247">
        <v>4</v>
      </c>
      <c r="S8" s="247">
        <v>5</v>
      </c>
      <c r="T8" s="247">
        <v>1.35</v>
      </c>
      <c r="U8" s="247" t="s">
        <v>34</v>
      </c>
      <c r="V8" s="247">
        <f>4*5.3</f>
        <v>21.2</v>
      </c>
      <c r="W8" s="247">
        <f>V8*1.12</f>
        <v>23.74</v>
      </c>
      <c r="X8" s="247">
        <f>W8*1.1</f>
        <v>26.11</v>
      </c>
      <c r="Y8" s="247" t="s">
        <v>34</v>
      </c>
      <c r="Z8" s="247">
        <f>2*1</f>
        <v>2</v>
      </c>
      <c r="AA8" s="247"/>
      <c r="AB8" s="247"/>
      <c r="AC8" s="247"/>
      <c r="AD8" s="247"/>
      <c r="AE8" s="247"/>
      <c r="AF8" s="359"/>
    </row>
    <row r="9" spans="1:32" s="347" customFormat="1" ht="60" customHeight="1">
      <c r="A9" s="927"/>
      <c r="B9" s="463" t="s">
        <v>835</v>
      </c>
      <c r="C9" s="247" t="s">
        <v>833</v>
      </c>
      <c r="D9" s="247" t="s">
        <v>428</v>
      </c>
      <c r="E9" s="247">
        <v>2.23</v>
      </c>
      <c r="F9" s="247">
        <v>6.21</v>
      </c>
      <c r="G9" s="247">
        <v>6.5</v>
      </c>
      <c r="H9" s="247" t="s">
        <v>727</v>
      </c>
      <c r="I9" s="250">
        <v>40</v>
      </c>
      <c r="J9" s="560" t="s">
        <v>504</v>
      </c>
      <c r="K9" s="560" t="s">
        <v>504</v>
      </c>
      <c r="L9" s="560" t="s">
        <v>504</v>
      </c>
      <c r="M9" s="247" t="str">
        <f t="shared" si="0"/>
        <v>bitumiczna</v>
      </c>
      <c r="N9" s="247">
        <f>F9*E9</f>
        <v>13.85</v>
      </c>
      <c r="O9" s="247"/>
      <c r="P9" s="247" t="s">
        <v>34</v>
      </c>
      <c r="Q9" s="247">
        <f>0.4*0.4*6</f>
        <v>0.96</v>
      </c>
      <c r="R9" s="247">
        <v>2.3</v>
      </c>
      <c r="S9" s="247">
        <v>4.5</v>
      </c>
      <c r="T9" s="247">
        <v>1.5</v>
      </c>
      <c r="U9" s="247">
        <v>12.35</v>
      </c>
      <c r="V9" s="247" t="s">
        <v>34</v>
      </c>
      <c r="W9" s="247" t="str">
        <f>V9</f>
        <v>x</v>
      </c>
      <c r="X9" s="247" t="e">
        <f>V9+#REF!*1.32</f>
        <v>#VALUE!</v>
      </c>
      <c r="Y9" s="247" t="e">
        <f>#REF!*1.12</f>
        <v>#REF!</v>
      </c>
      <c r="Z9" s="247">
        <f>3.6*1</f>
        <v>3.6</v>
      </c>
      <c r="AA9" s="247"/>
      <c r="AB9" s="247"/>
      <c r="AC9" s="247"/>
      <c r="AD9" s="247"/>
      <c r="AE9" s="247"/>
      <c r="AF9" s="359"/>
    </row>
    <row r="10" spans="1:32" s="347" customFormat="1" ht="42.75" customHeight="1" hidden="1">
      <c r="A10" s="927"/>
      <c r="B10" s="463" t="s">
        <v>731</v>
      </c>
      <c r="C10" s="247" t="s">
        <v>520</v>
      </c>
      <c r="D10" s="247" t="s">
        <v>428</v>
      </c>
      <c r="E10" s="247">
        <v>1.5</v>
      </c>
      <c r="F10" s="247">
        <v>5</v>
      </c>
      <c r="G10" s="247">
        <f t="shared" si="1"/>
        <v>5</v>
      </c>
      <c r="H10" s="247" t="s">
        <v>727</v>
      </c>
      <c r="I10" s="250">
        <v>40</v>
      </c>
      <c r="J10" s="247">
        <f>10.8/2</f>
        <v>5.4</v>
      </c>
      <c r="K10" s="247">
        <f>J10</f>
        <v>5.4</v>
      </c>
      <c r="L10" s="247" t="s">
        <v>429</v>
      </c>
      <c r="M10" s="247" t="str">
        <f t="shared" si="0"/>
        <v>bitumiczna</v>
      </c>
      <c r="N10" s="247">
        <f>G10*E10</f>
        <v>7.5</v>
      </c>
      <c r="O10" s="247"/>
      <c r="P10" s="247" t="s">
        <v>34</v>
      </c>
      <c r="Q10" s="247" t="s">
        <v>504</v>
      </c>
      <c r="R10" s="247">
        <v>1.5</v>
      </c>
      <c r="S10" s="247">
        <v>5</v>
      </c>
      <c r="T10" s="247">
        <v>1.5</v>
      </c>
      <c r="U10" s="247">
        <f aca="true" t="shared" si="2" ref="U10:U23">R10*S10</f>
        <v>7.5</v>
      </c>
      <c r="V10" s="247" t="s">
        <v>34</v>
      </c>
      <c r="W10" s="247">
        <f aca="true" t="shared" si="3" ref="W10:W23">U10</f>
        <v>7.5</v>
      </c>
      <c r="X10" s="247" t="e">
        <f>U10+V10*1.32</f>
        <v>#VALUE!</v>
      </c>
      <c r="Y10" s="247" t="e">
        <f>V10*1.12</f>
        <v>#VALUE!</v>
      </c>
      <c r="Z10" s="247">
        <f>3*1</f>
        <v>3</v>
      </c>
      <c r="AA10" s="247"/>
      <c r="AB10" s="247"/>
      <c r="AC10" s="247"/>
      <c r="AD10" s="247"/>
      <c r="AE10" s="247"/>
      <c r="AF10" s="359"/>
    </row>
    <row r="11" spans="1:32" s="347" customFormat="1" ht="42.75" customHeight="1" hidden="1">
      <c r="A11" s="927"/>
      <c r="B11" s="463" t="s">
        <v>732</v>
      </c>
      <c r="C11" s="247" t="s">
        <v>522</v>
      </c>
      <c r="D11" s="247" t="s">
        <v>428</v>
      </c>
      <c r="E11" s="247">
        <v>1.5</v>
      </c>
      <c r="F11" s="247">
        <v>5</v>
      </c>
      <c r="G11" s="247">
        <f t="shared" si="1"/>
        <v>5</v>
      </c>
      <c r="H11" s="247" t="s">
        <v>727</v>
      </c>
      <c r="I11" s="250" t="s">
        <v>504</v>
      </c>
      <c r="J11" s="247" t="s">
        <v>504</v>
      </c>
      <c r="K11" s="247" t="s">
        <v>504</v>
      </c>
      <c r="L11" s="247" t="s">
        <v>504</v>
      </c>
      <c r="M11" s="247" t="str">
        <f t="shared" si="0"/>
        <v>bitumiczna</v>
      </c>
      <c r="N11" s="247">
        <f>G11*E11</f>
        <v>7.5</v>
      </c>
      <c r="O11" s="247"/>
      <c r="P11" s="247" t="s">
        <v>34</v>
      </c>
      <c r="Q11" s="247" t="s">
        <v>504</v>
      </c>
      <c r="R11" s="247">
        <v>1.5</v>
      </c>
      <c r="S11" s="247">
        <v>5</v>
      </c>
      <c r="T11" s="247">
        <v>1.5</v>
      </c>
      <c r="U11" s="247">
        <f t="shared" si="2"/>
        <v>7.5</v>
      </c>
      <c r="V11" s="247" t="s">
        <v>34</v>
      </c>
      <c r="W11" s="247">
        <f t="shared" si="3"/>
        <v>7.5</v>
      </c>
      <c r="X11" s="247" t="e">
        <f>U11+V11*1.32</f>
        <v>#VALUE!</v>
      </c>
      <c r="Y11" s="247" t="e">
        <f>V11*1.12</f>
        <v>#VALUE!</v>
      </c>
      <c r="Z11" s="247">
        <f>3*1</f>
        <v>3</v>
      </c>
      <c r="AA11" s="247"/>
      <c r="AB11" s="247"/>
      <c r="AC11" s="247"/>
      <c r="AD11" s="247"/>
      <c r="AE11" s="247"/>
      <c r="AF11" s="359"/>
    </row>
    <row r="12" spans="1:32" s="347" customFormat="1" ht="42.75" customHeight="1" hidden="1">
      <c r="A12" s="927"/>
      <c r="B12" s="463" t="s">
        <v>733</v>
      </c>
      <c r="C12" s="247" t="s">
        <v>524</v>
      </c>
      <c r="D12" s="247" t="s">
        <v>428</v>
      </c>
      <c r="E12" s="247">
        <v>1.5</v>
      </c>
      <c r="F12" s="247">
        <v>4</v>
      </c>
      <c r="G12" s="247">
        <f t="shared" si="1"/>
        <v>4</v>
      </c>
      <c r="H12" s="247" t="s">
        <v>727</v>
      </c>
      <c r="I12" s="250">
        <v>40</v>
      </c>
      <c r="J12" s="247">
        <v>5.5</v>
      </c>
      <c r="K12" s="247">
        <v>5.5</v>
      </c>
      <c r="L12" s="247" t="s">
        <v>429</v>
      </c>
      <c r="M12" s="247" t="str">
        <f t="shared" si="0"/>
        <v>bitumiczna</v>
      </c>
      <c r="N12" s="247">
        <f aca="true" t="shared" si="4" ref="N12:N24">E12*F12</f>
        <v>6</v>
      </c>
      <c r="O12" s="247"/>
      <c r="P12" s="247" t="s">
        <v>504</v>
      </c>
      <c r="Q12" s="247">
        <f>2*0.15*4.5*1.2</f>
        <v>1.62</v>
      </c>
      <c r="R12" s="247">
        <v>1.5</v>
      </c>
      <c r="S12" s="247">
        <v>4.5</v>
      </c>
      <c r="T12" s="247">
        <v>1.5</v>
      </c>
      <c r="U12" s="247">
        <f t="shared" si="2"/>
        <v>6.75</v>
      </c>
      <c r="V12" s="247" t="s">
        <v>34</v>
      </c>
      <c r="W12" s="247">
        <f t="shared" si="3"/>
        <v>6.75</v>
      </c>
      <c r="X12" s="247" t="e">
        <f>U12+V12*1.32</f>
        <v>#VALUE!</v>
      </c>
      <c r="Y12" s="247" t="e">
        <f>V12*1.12</f>
        <v>#VALUE!</v>
      </c>
      <c r="Z12" s="247">
        <f>2.5</f>
        <v>2.5</v>
      </c>
      <c r="AA12" s="247"/>
      <c r="AB12" s="247"/>
      <c r="AC12" s="247"/>
      <c r="AD12" s="247"/>
      <c r="AE12" s="247"/>
      <c r="AF12" s="359"/>
    </row>
    <row r="13" spans="1:32" s="347" customFormat="1" ht="42.75" customHeight="1" hidden="1">
      <c r="A13" s="927"/>
      <c r="B13" s="463" t="s">
        <v>734</v>
      </c>
      <c r="C13" s="247" t="s">
        <v>525</v>
      </c>
      <c r="D13" s="247" t="s">
        <v>428</v>
      </c>
      <c r="E13" s="247">
        <v>1.5</v>
      </c>
      <c r="F13" s="247">
        <v>4</v>
      </c>
      <c r="G13" s="247">
        <f t="shared" si="1"/>
        <v>4</v>
      </c>
      <c r="H13" s="247" t="s">
        <v>727</v>
      </c>
      <c r="I13" s="250">
        <v>40</v>
      </c>
      <c r="J13" s="247">
        <v>5</v>
      </c>
      <c r="K13" s="247">
        <f>J13</f>
        <v>5</v>
      </c>
      <c r="L13" s="247" t="s">
        <v>429</v>
      </c>
      <c r="M13" s="247" t="str">
        <f t="shared" si="0"/>
        <v>bitumiczna</v>
      </c>
      <c r="N13" s="247">
        <f t="shared" si="4"/>
        <v>6</v>
      </c>
      <c r="O13" s="247"/>
      <c r="P13" s="247" t="s">
        <v>34</v>
      </c>
      <c r="Q13" s="247">
        <f>2*0.2*4.5*1.2</f>
        <v>2.16</v>
      </c>
      <c r="R13" s="247">
        <v>1.5</v>
      </c>
      <c r="S13" s="247">
        <v>4.5</v>
      </c>
      <c r="T13" s="247"/>
      <c r="U13" s="247">
        <f t="shared" si="2"/>
        <v>6.75</v>
      </c>
      <c r="V13" s="247" t="s">
        <v>34</v>
      </c>
      <c r="W13" s="247">
        <f t="shared" si="3"/>
        <v>6.75</v>
      </c>
      <c r="X13" s="247" t="e">
        <f>U13+V13*1.32</f>
        <v>#VALUE!</v>
      </c>
      <c r="Y13" s="247" t="e">
        <f>V13*1.12</f>
        <v>#VALUE!</v>
      </c>
      <c r="Z13" s="247">
        <f>3</f>
        <v>3</v>
      </c>
      <c r="AA13" s="247"/>
      <c r="AB13" s="247"/>
      <c r="AC13" s="247"/>
      <c r="AD13" s="247"/>
      <c r="AE13" s="247"/>
      <c r="AF13" s="359"/>
    </row>
    <row r="14" spans="1:32" s="347" customFormat="1" ht="42.75" customHeight="1" hidden="1">
      <c r="A14" s="927"/>
      <c r="B14" s="463" t="s">
        <v>737</v>
      </c>
      <c r="C14" s="247" t="s">
        <v>742</v>
      </c>
      <c r="D14" s="247" t="s">
        <v>735</v>
      </c>
      <c r="E14" s="247">
        <v>1.65</v>
      </c>
      <c r="F14" s="247">
        <v>8</v>
      </c>
      <c r="G14" s="247">
        <f t="shared" si="1"/>
        <v>8</v>
      </c>
      <c r="H14" s="247" t="s">
        <v>730</v>
      </c>
      <c r="I14" s="250"/>
      <c r="J14" s="247"/>
      <c r="K14" s="247"/>
      <c r="L14" s="247"/>
      <c r="M14" s="247" t="str">
        <f t="shared" si="0"/>
        <v>kostka brukowa</v>
      </c>
      <c r="N14" s="247">
        <f t="shared" si="4"/>
        <v>13.2</v>
      </c>
      <c r="O14" s="247"/>
      <c r="P14" s="247" t="s">
        <v>34</v>
      </c>
      <c r="Q14" s="247"/>
      <c r="R14" s="247">
        <v>1.65</v>
      </c>
      <c r="S14" s="247">
        <v>15</v>
      </c>
      <c r="T14" s="247"/>
      <c r="U14" s="247">
        <f t="shared" si="2"/>
        <v>24.75</v>
      </c>
      <c r="V14" s="247" t="s">
        <v>34</v>
      </c>
      <c r="W14" s="247">
        <f t="shared" si="3"/>
        <v>24.75</v>
      </c>
      <c r="X14" s="247" t="e">
        <f>U14+V14*1.32</f>
        <v>#VALUE!</v>
      </c>
      <c r="Y14" s="247" t="e">
        <f>V14*1.12</f>
        <v>#VALUE!</v>
      </c>
      <c r="Z14" s="247"/>
      <c r="AA14" s="247"/>
      <c r="AB14" s="247"/>
      <c r="AC14" s="247"/>
      <c r="AD14" s="247"/>
      <c r="AE14" s="247"/>
      <c r="AF14" s="359" t="s">
        <v>740</v>
      </c>
    </row>
    <row r="15" spans="1:32" s="347" customFormat="1" ht="42.75" customHeight="1" hidden="1">
      <c r="A15" s="927"/>
      <c r="B15" s="463" t="s">
        <v>738</v>
      </c>
      <c r="C15" s="247" t="s">
        <v>743</v>
      </c>
      <c r="D15" s="247" t="s">
        <v>735</v>
      </c>
      <c r="E15" s="247">
        <v>1.65</v>
      </c>
      <c r="F15" s="247">
        <v>5</v>
      </c>
      <c r="G15" s="247">
        <f t="shared" si="1"/>
        <v>5</v>
      </c>
      <c r="H15" s="247" t="s">
        <v>727</v>
      </c>
      <c r="I15" s="250"/>
      <c r="J15" s="247"/>
      <c r="K15" s="247"/>
      <c r="L15" s="247"/>
      <c r="M15" s="247" t="str">
        <f t="shared" si="0"/>
        <v>bitumiczna</v>
      </c>
      <c r="N15" s="247">
        <f t="shared" si="4"/>
        <v>8.25</v>
      </c>
      <c r="O15" s="247"/>
      <c r="P15" s="247" t="s">
        <v>34</v>
      </c>
      <c r="Q15" s="247"/>
      <c r="R15" s="247">
        <v>1.65</v>
      </c>
      <c r="S15" s="247">
        <v>5</v>
      </c>
      <c r="T15" s="247"/>
      <c r="U15" s="247">
        <f t="shared" si="2"/>
        <v>8.25</v>
      </c>
      <c r="V15" s="247" t="s">
        <v>34</v>
      </c>
      <c r="W15" s="247">
        <f t="shared" si="3"/>
        <v>8.25</v>
      </c>
      <c r="X15" s="247"/>
      <c r="Y15" s="247"/>
      <c r="Z15" s="247"/>
      <c r="AA15" s="247"/>
      <c r="AB15" s="247"/>
      <c r="AC15" s="247"/>
      <c r="AD15" s="247"/>
      <c r="AE15" s="247"/>
      <c r="AF15" s="359"/>
    </row>
    <row r="16" spans="1:32" s="347" customFormat="1" ht="42.75" customHeight="1" hidden="1">
      <c r="A16" s="927"/>
      <c r="B16" s="463" t="s">
        <v>736</v>
      </c>
      <c r="C16" s="247" t="s">
        <v>533</v>
      </c>
      <c r="D16" s="247" t="s">
        <v>428</v>
      </c>
      <c r="E16" s="247">
        <v>2</v>
      </c>
      <c r="F16" s="247">
        <v>3</v>
      </c>
      <c r="G16" s="247">
        <f t="shared" si="1"/>
        <v>3</v>
      </c>
      <c r="H16" s="247" t="s">
        <v>727</v>
      </c>
      <c r="I16" s="250"/>
      <c r="J16" s="247"/>
      <c r="K16" s="247"/>
      <c r="L16" s="247"/>
      <c r="M16" s="247" t="str">
        <f aca="true" t="shared" si="5" ref="M16:M24">H16</f>
        <v>bitumiczna</v>
      </c>
      <c r="N16" s="247">
        <f t="shared" si="4"/>
        <v>6</v>
      </c>
      <c r="O16" s="247"/>
      <c r="P16" s="247" t="s">
        <v>34</v>
      </c>
      <c r="Q16" s="247"/>
      <c r="R16" s="247">
        <v>1.65</v>
      </c>
      <c r="S16" s="247">
        <v>4.5</v>
      </c>
      <c r="T16" s="247"/>
      <c r="U16" s="247">
        <f t="shared" si="2"/>
        <v>7.43</v>
      </c>
      <c r="V16" s="247" t="s">
        <v>34</v>
      </c>
      <c r="W16" s="247">
        <f t="shared" si="3"/>
        <v>7.43</v>
      </c>
      <c r="X16" s="247"/>
      <c r="Y16" s="247"/>
      <c r="Z16" s="247"/>
      <c r="AA16" s="247"/>
      <c r="AB16" s="247"/>
      <c r="AC16" s="247"/>
      <c r="AD16" s="247"/>
      <c r="AE16" s="247"/>
      <c r="AF16" s="359"/>
    </row>
    <row r="17" spans="1:32" s="347" customFormat="1" ht="42.75" customHeight="1" hidden="1">
      <c r="A17" s="927"/>
      <c r="B17" s="463" t="s">
        <v>739</v>
      </c>
      <c r="C17" s="247" t="s">
        <v>534</v>
      </c>
      <c r="D17" s="247" t="s">
        <v>428</v>
      </c>
      <c r="E17" s="247">
        <v>2</v>
      </c>
      <c r="F17" s="247">
        <v>4.5</v>
      </c>
      <c r="G17" s="247">
        <f t="shared" si="1"/>
        <v>4.5</v>
      </c>
      <c r="H17" s="247" t="s">
        <v>727</v>
      </c>
      <c r="I17" s="250"/>
      <c r="J17" s="247"/>
      <c r="K17" s="247"/>
      <c r="L17" s="247"/>
      <c r="M17" s="247" t="str">
        <f t="shared" si="5"/>
        <v>bitumiczna</v>
      </c>
      <c r="N17" s="247">
        <f t="shared" si="4"/>
        <v>9</v>
      </c>
      <c r="O17" s="247"/>
      <c r="P17" s="247" t="s">
        <v>34</v>
      </c>
      <c r="Q17" s="247"/>
      <c r="R17" s="247">
        <v>2</v>
      </c>
      <c r="S17" s="247">
        <v>4.5</v>
      </c>
      <c r="T17" s="247"/>
      <c r="U17" s="247">
        <f t="shared" si="2"/>
        <v>9</v>
      </c>
      <c r="V17" s="247" t="s">
        <v>34</v>
      </c>
      <c r="W17" s="247">
        <f t="shared" si="3"/>
        <v>9</v>
      </c>
      <c r="X17" s="247"/>
      <c r="Y17" s="247"/>
      <c r="Z17" s="247"/>
      <c r="AA17" s="247"/>
      <c r="AB17" s="247"/>
      <c r="AC17" s="247"/>
      <c r="AD17" s="247"/>
      <c r="AE17" s="247"/>
      <c r="AF17" s="359"/>
    </row>
    <row r="18" spans="1:32" s="347" customFormat="1" ht="42.75" customHeight="1" hidden="1">
      <c r="A18" s="927"/>
      <c r="B18" s="463" t="s">
        <v>741</v>
      </c>
      <c r="C18" s="247" t="s">
        <v>535</v>
      </c>
      <c r="D18" s="247" t="s">
        <v>428</v>
      </c>
      <c r="E18" s="247">
        <v>2</v>
      </c>
      <c r="F18" s="247">
        <v>5</v>
      </c>
      <c r="G18" s="247">
        <f t="shared" si="1"/>
        <v>5</v>
      </c>
      <c r="H18" s="247" t="s">
        <v>727</v>
      </c>
      <c r="I18" s="250"/>
      <c r="J18" s="247"/>
      <c r="K18" s="247"/>
      <c r="L18" s="247"/>
      <c r="M18" s="247" t="str">
        <f t="shared" si="5"/>
        <v>bitumiczna</v>
      </c>
      <c r="N18" s="247">
        <f t="shared" si="4"/>
        <v>10</v>
      </c>
      <c r="O18" s="247"/>
      <c r="P18" s="247" t="s">
        <v>34</v>
      </c>
      <c r="Q18" s="247"/>
      <c r="R18" s="247">
        <v>2</v>
      </c>
      <c r="S18" s="247">
        <v>5</v>
      </c>
      <c r="T18" s="247"/>
      <c r="U18" s="247">
        <f t="shared" si="2"/>
        <v>10</v>
      </c>
      <c r="V18" s="247" t="s">
        <v>34</v>
      </c>
      <c r="W18" s="247">
        <f t="shared" si="3"/>
        <v>10</v>
      </c>
      <c r="X18" s="247"/>
      <c r="Y18" s="247"/>
      <c r="Z18" s="247"/>
      <c r="AA18" s="247"/>
      <c r="AB18" s="247"/>
      <c r="AC18" s="247"/>
      <c r="AD18" s="247"/>
      <c r="AE18" s="247"/>
      <c r="AF18" s="359"/>
    </row>
    <row r="19" spans="1:32" s="347" customFormat="1" ht="42.75" customHeight="1" hidden="1">
      <c r="A19" s="927"/>
      <c r="B19" s="463" t="s">
        <v>744</v>
      </c>
      <c r="C19" s="247" t="s">
        <v>540</v>
      </c>
      <c r="D19" s="247" t="s">
        <v>428</v>
      </c>
      <c r="E19" s="247">
        <v>2</v>
      </c>
      <c r="F19" s="247">
        <v>4.5</v>
      </c>
      <c r="G19" s="247">
        <f t="shared" si="1"/>
        <v>4.5</v>
      </c>
      <c r="H19" s="247" t="s">
        <v>727</v>
      </c>
      <c r="I19" s="250"/>
      <c r="J19" s="247"/>
      <c r="K19" s="247"/>
      <c r="L19" s="247"/>
      <c r="M19" s="247" t="str">
        <f t="shared" si="5"/>
        <v>bitumiczna</v>
      </c>
      <c r="N19" s="247">
        <f t="shared" si="4"/>
        <v>9</v>
      </c>
      <c r="O19" s="247"/>
      <c r="P19" s="247" t="s">
        <v>34</v>
      </c>
      <c r="Q19" s="247"/>
      <c r="R19" s="247">
        <v>2</v>
      </c>
      <c r="S19" s="247">
        <v>4.5</v>
      </c>
      <c r="T19" s="247"/>
      <c r="U19" s="247">
        <f t="shared" si="2"/>
        <v>9</v>
      </c>
      <c r="V19" s="247" t="s">
        <v>34</v>
      </c>
      <c r="W19" s="247">
        <f t="shared" si="3"/>
        <v>9</v>
      </c>
      <c r="X19" s="247"/>
      <c r="Y19" s="247"/>
      <c r="Z19" s="247"/>
      <c r="AA19" s="247"/>
      <c r="AB19" s="247"/>
      <c r="AC19" s="247"/>
      <c r="AD19" s="247"/>
      <c r="AE19" s="247"/>
      <c r="AF19" s="359"/>
    </row>
    <row r="20" spans="1:32" s="347" customFormat="1" ht="42.75" customHeight="1" hidden="1">
      <c r="A20" s="927"/>
      <c r="B20" s="465" t="s">
        <v>745</v>
      </c>
      <c r="C20" s="247" t="s">
        <v>542</v>
      </c>
      <c r="D20" s="247" t="s">
        <v>428</v>
      </c>
      <c r="E20" s="247">
        <v>2</v>
      </c>
      <c r="F20" s="247">
        <v>5</v>
      </c>
      <c r="G20" s="247">
        <f t="shared" si="1"/>
        <v>5</v>
      </c>
      <c r="H20" s="247" t="s">
        <v>727</v>
      </c>
      <c r="I20" s="250"/>
      <c r="J20" s="247"/>
      <c r="K20" s="247"/>
      <c r="L20" s="247"/>
      <c r="M20" s="247" t="str">
        <f t="shared" si="5"/>
        <v>bitumiczna</v>
      </c>
      <c r="N20" s="247">
        <f t="shared" si="4"/>
        <v>10</v>
      </c>
      <c r="O20" s="247"/>
      <c r="P20" s="247" t="s">
        <v>34</v>
      </c>
      <c r="Q20" s="247"/>
      <c r="R20" s="247">
        <v>2</v>
      </c>
      <c r="S20" s="247">
        <v>5</v>
      </c>
      <c r="T20" s="247"/>
      <c r="U20" s="247">
        <f t="shared" si="2"/>
        <v>10</v>
      </c>
      <c r="V20" s="247" t="s">
        <v>34</v>
      </c>
      <c r="W20" s="247">
        <f t="shared" si="3"/>
        <v>10</v>
      </c>
      <c r="X20" s="247"/>
      <c r="Y20" s="247"/>
      <c r="Z20" s="247"/>
      <c r="AA20" s="247"/>
      <c r="AB20" s="247"/>
      <c r="AC20" s="247"/>
      <c r="AD20" s="247"/>
      <c r="AE20" s="247"/>
      <c r="AF20" s="359"/>
    </row>
    <row r="21" spans="1:32" s="347" customFormat="1" ht="42.75" customHeight="1" hidden="1">
      <c r="A21" s="927"/>
      <c r="B21" s="463" t="s">
        <v>746</v>
      </c>
      <c r="C21" s="247" t="s">
        <v>543</v>
      </c>
      <c r="D21" s="247" t="s">
        <v>735</v>
      </c>
      <c r="E21" s="247">
        <v>2</v>
      </c>
      <c r="F21" s="247">
        <v>4</v>
      </c>
      <c r="G21" s="247">
        <f t="shared" si="1"/>
        <v>4</v>
      </c>
      <c r="H21" s="247" t="s">
        <v>730</v>
      </c>
      <c r="I21" s="250"/>
      <c r="J21" s="247"/>
      <c r="K21" s="247"/>
      <c r="L21" s="247"/>
      <c r="M21" s="247" t="str">
        <f t="shared" si="5"/>
        <v>kostka brukowa</v>
      </c>
      <c r="N21" s="247">
        <f t="shared" si="4"/>
        <v>8</v>
      </c>
      <c r="O21" s="247"/>
      <c r="P21" s="247" t="s">
        <v>34</v>
      </c>
      <c r="Q21" s="247"/>
      <c r="R21" s="247">
        <v>2</v>
      </c>
      <c r="S21" s="247">
        <v>4.5</v>
      </c>
      <c r="T21" s="247"/>
      <c r="U21" s="247">
        <f t="shared" si="2"/>
        <v>9</v>
      </c>
      <c r="V21" s="247" t="s">
        <v>34</v>
      </c>
      <c r="W21" s="247">
        <f t="shared" si="3"/>
        <v>9</v>
      </c>
      <c r="X21" s="247"/>
      <c r="Y21" s="247"/>
      <c r="Z21" s="247"/>
      <c r="AA21" s="247"/>
      <c r="AB21" s="247"/>
      <c r="AC21" s="247"/>
      <c r="AD21" s="247"/>
      <c r="AE21" s="247"/>
      <c r="AF21" s="359"/>
    </row>
    <row r="22" spans="1:32" s="347" customFormat="1" ht="42.75" customHeight="1" hidden="1">
      <c r="A22" s="927"/>
      <c r="B22" s="463" t="s">
        <v>747</v>
      </c>
      <c r="C22" s="247" t="s">
        <v>748</v>
      </c>
      <c r="D22" s="247" t="s">
        <v>735</v>
      </c>
      <c r="E22" s="247">
        <v>2</v>
      </c>
      <c r="F22" s="247">
        <v>4</v>
      </c>
      <c r="G22" s="247">
        <f t="shared" si="1"/>
        <v>4</v>
      </c>
      <c r="H22" s="247" t="s">
        <v>730</v>
      </c>
      <c r="I22" s="250"/>
      <c r="J22" s="247"/>
      <c r="K22" s="247"/>
      <c r="L22" s="247"/>
      <c r="M22" s="247" t="str">
        <f t="shared" si="5"/>
        <v>kostka brukowa</v>
      </c>
      <c r="N22" s="247">
        <f t="shared" si="4"/>
        <v>8</v>
      </c>
      <c r="O22" s="247"/>
      <c r="P22" s="247" t="s">
        <v>34</v>
      </c>
      <c r="Q22" s="247"/>
      <c r="R22" s="247">
        <v>2</v>
      </c>
      <c r="S22" s="247">
        <v>4.5</v>
      </c>
      <c r="T22" s="247"/>
      <c r="U22" s="247">
        <f t="shared" si="2"/>
        <v>9</v>
      </c>
      <c r="V22" s="247" t="s">
        <v>34</v>
      </c>
      <c r="W22" s="247">
        <f t="shared" si="3"/>
        <v>9</v>
      </c>
      <c r="X22" s="247"/>
      <c r="Y22" s="247"/>
      <c r="Z22" s="247"/>
      <c r="AA22" s="247"/>
      <c r="AB22" s="247"/>
      <c r="AC22" s="247"/>
      <c r="AD22" s="247"/>
      <c r="AE22" s="247"/>
      <c r="AF22" s="359"/>
    </row>
    <row r="23" spans="1:32" s="347" customFormat="1" ht="42.75" customHeight="1" hidden="1">
      <c r="A23" s="927"/>
      <c r="B23" s="463" t="s">
        <v>749</v>
      </c>
      <c r="C23" s="247" t="s">
        <v>750</v>
      </c>
      <c r="D23" s="247" t="s">
        <v>751</v>
      </c>
      <c r="E23" s="247">
        <v>2</v>
      </c>
      <c r="F23" s="247">
        <v>3.5</v>
      </c>
      <c r="G23" s="247">
        <f t="shared" si="1"/>
        <v>3.5</v>
      </c>
      <c r="H23" s="247" t="s">
        <v>727</v>
      </c>
      <c r="I23" s="250"/>
      <c r="J23" s="247"/>
      <c r="K23" s="247"/>
      <c r="L23" s="247"/>
      <c r="M23" s="247" t="str">
        <f t="shared" si="5"/>
        <v>bitumiczna</v>
      </c>
      <c r="N23" s="247">
        <f t="shared" si="4"/>
        <v>7</v>
      </c>
      <c r="O23" s="247"/>
      <c r="P23" s="247" t="s">
        <v>34</v>
      </c>
      <c r="Q23" s="247"/>
      <c r="R23" s="247">
        <v>2</v>
      </c>
      <c r="S23" s="247">
        <v>4.5</v>
      </c>
      <c r="T23" s="247"/>
      <c r="U23" s="247">
        <f t="shared" si="2"/>
        <v>9</v>
      </c>
      <c r="V23" s="247" t="s">
        <v>34</v>
      </c>
      <c r="W23" s="247">
        <f t="shared" si="3"/>
        <v>9</v>
      </c>
      <c r="X23" s="247"/>
      <c r="Y23" s="247"/>
      <c r="Z23" s="247"/>
      <c r="AA23" s="247"/>
      <c r="AB23" s="247"/>
      <c r="AC23" s="247"/>
      <c r="AD23" s="247"/>
      <c r="AE23" s="247"/>
      <c r="AF23" s="359"/>
    </row>
    <row r="24" spans="1:32" s="347" customFormat="1" ht="42.75" customHeight="1" hidden="1">
      <c r="A24" s="928"/>
      <c r="B24" s="463" t="s">
        <v>752</v>
      </c>
      <c r="C24" s="247" t="s">
        <v>753</v>
      </c>
      <c r="D24" s="247" t="s">
        <v>754</v>
      </c>
      <c r="E24" s="247">
        <v>1.9</v>
      </c>
      <c r="F24" s="247">
        <v>7</v>
      </c>
      <c r="G24" s="247">
        <f t="shared" si="1"/>
        <v>7</v>
      </c>
      <c r="H24" s="247" t="s">
        <v>727</v>
      </c>
      <c r="I24" s="250"/>
      <c r="J24" s="247"/>
      <c r="K24" s="247"/>
      <c r="L24" s="247"/>
      <c r="M24" s="247" t="str">
        <f t="shared" si="5"/>
        <v>bitumiczna</v>
      </c>
      <c r="N24" s="247">
        <f t="shared" si="4"/>
        <v>13.3</v>
      </c>
      <c r="O24" s="247"/>
      <c r="P24" s="247" t="s">
        <v>34</v>
      </c>
      <c r="Q24" s="247"/>
      <c r="R24" s="247">
        <v>2</v>
      </c>
      <c r="S24" s="247">
        <v>7</v>
      </c>
      <c r="T24" s="247"/>
      <c r="U24" s="251" t="s">
        <v>34</v>
      </c>
      <c r="V24" s="247">
        <f>R24*S24</f>
        <v>14</v>
      </c>
      <c r="W24" s="247">
        <f>V24</f>
        <v>14</v>
      </c>
      <c r="X24" s="247"/>
      <c r="Y24" s="247"/>
      <c r="Z24" s="247"/>
      <c r="AA24" s="247"/>
      <c r="AB24" s="247"/>
      <c r="AC24" s="247"/>
      <c r="AD24" s="247"/>
      <c r="AE24" s="247"/>
      <c r="AF24" s="359"/>
    </row>
    <row r="25" spans="1:32" s="347" customFormat="1" ht="13.5" customHeight="1">
      <c r="A25" s="468" t="s">
        <v>34</v>
      </c>
      <c r="B25" s="458" t="s">
        <v>34</v>
      </c>
      <c r="C25" s="913" t="s">
        <v>34</v>
      </c>
      <c r="D25" s="913" t="s">
        <v>34</v>
      </c>
      <c r="E25" s="346" t="s">
        <v>34</v>
      </c>
      <c r="F25" s="346" t="s">
        <v>34</v>
      </c>
      <c r="G25" s="346" t="s">
        <v>34</v>
      </c>
      <c r="H25" s="346" t="s">
        <v>34</v>
      </c>
      <c r="I25" s="252" t="s">
        <v>34</v>
      </c>
      <c r="J25" s="562">
        <f>J5+J8</f>
        <v>15.8</v>
      </c>
      <c r="K25" s="562">
        <f>K5+K8</f>
        <v>15.8</v>
      </c>
      <c r="L25" s="252" t="s">
        <v>34</v>
      </c>
      <c r="M25" s="458" t="s">
        <v>34</v>
      </c>
      <c r="N25" s="458" t="s">
        <v>34</v>
      </c>
      <c r="O25" s="247"/>
      <c r="P25" s="346" t="s">
        <v>34</v>
      </c>
      <c r="Q25" s="346">
        <f>SUM(Q5:Q13)</f>
        <v>6.64</v>
      </c>
      <c r="R25" s="458" t="s">
        <v>34</v>
      </c>
      <c r="S25" s="458" t="s">
        <v>34</v>
      </c>
      <c r="T25" s="458"/>
      <c r="U25" s="346">
        <f>U7+U9</f>
        <v>24.79</v>
      </c>
      <c r="V25" s="346">
        <f>V8+V5</f>
        <v>43.7</v>
      </c>
      <c r="W25" s="346">
        <f>SUM(W5:W24)</f>
        <v>202.11</v>
      </c>
      <c r="X25" s="346" t="e">
        <f>SUM(X5:X14)</f>
        <v>#VALUE!</v>
      </c>
      <c r="Y25" s="346" t="e">
        <f>SUM(Y5:Y14)</f>
        <v>#VALUE!</v>
      </c>
      <c r="Z25" s="346">
        <f>SUM(Z5:Z13)</f>
        <v>25.9</v>
      </c>
      <c r="AA25" s="346" t="s">
        <v>504</v>
      </c>
      <c r="AB25" s="346"/>
      <c r="AC25" s="346"/>
      <c r="AD25" s="346"/>
      <c r="AE25" s="346"/>
      <c r="AF25" s="361" t="s">
        <v>34</v>
      </c>
    </row>
    <row r="26" spans="1:32" s="347" customFormat="1" ht="27.75" customHeight="1">
      <c r="A26" s="484"/>
      <c r="B26" s="485"/>
      <c r="C26" s="470"/>
      <c r="D26" s="470"/>
      <c r="E26" s="470"/>
      <c r="F26" s="470"/>
      <c r="I26" s="472"/>
      <c r="J26" s="472"/>
      <c r="K26" s="473"/>
      <c r="L26" s="914" t="s">
        <v>756</v>
      </c>
      <c r="M26" s="915"/>
      <c r="N26" s="346">
        <f>N5+N7+N8+N9</f>
        <v>66.52</v>
      </c>
      <c r="O26" s="344"/>
      <c r="P26" s="469"/>
      <c r="Q26" s="470"/>
      <c r="R26" s="914" t="s">
        <v>757</v>
      </c>
      <c r="S26" s="915"/>
      <c r="T26" s="481"/>
      <c r="U26" s="913">
        <f>V25</f>
        <v>43.7</v>
      </c>
      <c r="V26" s="913"/>
      <c r="W26" s="481"/>
      <c r="X26" s="482"/>
      <c r="Y26" s="470"/>
      <c r="Z26" s="470"/>
      <c r="AA26" s="470"/>
      <c r="AB26" s="470"/>
      <c r="AC26" s="470"/>
      <c r="AD26" s="470"/>
      <c r="AE26" s="470"/>
      <c r="AF26" s="470"/>
    </row>
    <row r="27" spans="1:32" s="347" customFormat="1" ht="16.5" customHeight="1" hidden="1">
      <c r="A27" s="486"/>
      <c r="B27" s="483"/>
      <c r="C27" s="472"/>
      <c r="D27" s="472"/>
      <c r="E27" s="472"/>
      <c r="F27" s="472"/>
      <c r="G27" s="476"/>
      <c r="H27" s="565"/>
      <c r="I27" s="565"/>
      <c r="J27" s="565"/>
      <c r="K27" s="566"/>
      <c r="L27" s="479"/>
      <c r="M27" s="477"/>
      <c r="N27" s="346">
        <v>0</v>
      </c>
      <c r="O27" s="344"/>
      <c r="P27" s="471"/>
      <c r="Q27" s="472"/>
      <c r="R27" s="488"/>
      <c r="S27" s="479"/>
      <c r="T27" s="487"/>
      <c r="U27" s="458">
        <v>0</v>
      </c>
      <c r="V27" s="479"/>
      <c r="W27" s="487"/>
      <c r="X27" s="477"/>
      <c r="Y27" s="472"/>
      <c r="Z27" s="472"/>
      <c r="AA27" s="472"/>
      <c r="AB27" s="472"/>
      <c r="AC27" s="472"/>
      <c r="AD27" s="472"/>
      <c r="AE27" s="472"/>
      <c r="AF27" s="472"/>
    </row>
    <row r="28" spans="1:32" s="347" customFormat="1" ht="28.5" customHeight="1">
      <c r="A28" s="486"/>
      <c r="B28" s="483"/>
      <c r="C28" s="472"/>
      <c r="D28" s="472"/>
      <c r="E28" s="472"/>
      <c r="F28" s="472"/>
      <c r="I28" s="472"/>
      <c r="J28" s="472"/>
      <c r="K28" s="473"/>
      <c r="L28" s="914" t="s">
        <v>836</v>
      </c>
      <c r="M28" s="915"/>
      <c r="N28" s="346">
        <v>23.1</v>
      </c>
      <c r="O28" s="344"/>
      <c r="P28" s="471"/>
      <c r="Q28" s="472"/>
      <c r="R28" s="914" t="s">
        <v>758</v>
      </c>
      <c r="S28" s="915"/>
      <c r="T28" s="481"/>
      <c r="U28" s="913">
        <f>U25</f>
        <v>24.79</v>
      </c>
      <c r="V28" s="913"/>
      <c r="W28" s="481"/>
      <c r="X28" s="482"/>
      <c r="Y28" s="472"/>
      <c r="Z28" s="472"/>
      <c r="AA28" s="472"/>
      <c r="AB28" s="472"/>
      <c r="AC28" s="472"/>
      <c r="AD28" s="472"/>
      <c r="AE28" s="472"/>
      <c r="AF28" s="472"/>
    </row>
    <row r="29" spans="1:32" s="347" customFormat="1" ht="15" customHeight="1" hidden="1">
      <c r="A29" s="467"/>
      <c r="B29" s="464"/>
      <c r="C29" s="471"/>
      <c r="D29" s="472"/>
      <c r="E29" s="472"/>
      <c r="F29" s="472"/>
      <c r="G29" s="472"/>
      <c r="H29" s="472"/>
      <c r="I29" s="472"/>
      <c r="J29" s="472"/>
      <c r="K29" s="472"/>
      <c r="L29" s="473"/>
      <c r="M29" s="478"/>
      <c r="N29" s="346"/>
      <c r="O29" s="344"/>
      <c r="P29" s="474"/>
      <c r="Q29" s="475"/>
      <c r="R29" s="475"/>
      <c r="S29" s="475"/>
      <c r="T29" s="475"/>
      <c r="U29" s="475"/>
      <c r="V29" s="475"/>
      <c r="W29" s="475"/>
      <c r="X29" s="475"/>
      <c r="Y29" s="475"/>
      <c r="Z29" s="475"/>
      <c r="AA29" s="475"/>
      <c r="AB29" s="475"/>
      <c r="AC29" s="475"/>
      <c r="AD29" s="475"/>
      <c r="AE29" s="475"/>
      <c r="AF29" s="480"/>
    </row>
    <row r="30" spans="1:32" s="347" customFormat="1" ht="16.5" customHeight="1" hidden="1">
      <c r="A30" s="362"/>
      <c r="B30" s="360"/>
      <c r="C30" s="344"/>
      <c r="D30" s="344"/>
      <c r="E30" s="344"/>
      <c r="F30" s="541"/>
      <c r="G30" s="344"/>
      <c r="H30" s="344"/>
      <c r="I30" s="349"/>
      <c r="J30" s="344"/>
      <c r="K30" s="344"/>
      <c r="L30" s="344"/>
      <c r="M30" s="252" t="s">
        <v>67</v>
      </c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63"/>
    </row>
    <row r="31" spans="3:5" ht="54" customHeight="1">
      <c r="C31" s="535"/>
      <c r="E31" s="539"/>
    </row>
    <row r="32" spans="3:13" ht="12.75">
      <c r="C32" s="535"/>
      <c r="K32" s="347"/>
      <c r="L32" s="347"/>
      <c r="M32" s="347"/>
    </row>
    <row r="36" spans="1:30" ht="15">
      <c r="A36" s="347"/>
      <c r="B36" s="347"/>
      <c r="C36" s="549" t="s">
        <v>430</v>
      </c>
      <c r="D36" s="549"/>
      <c r="E36" s="549"/>
      <c r="F36" s="549"/>
      <c r="G36" s="520"/>
      <c r="H36" s="520"/>
      <c r="I36" s="520"/>
      <c r="J36" s="520"/>
      <c r="K36" s="520"/>
      <c r="L36" s="520"/>
      <c r="M36" s="520"/>
      <c r="N36" s="520"/>
      <c r="O36" s="520"/>
      <c r="P36" s="520"/>
      <c r="Q36" s="520"/>
      <c r="R36" s="520"/>
      <c r="S36" s="520"/>
      <c r="T36" s="520"/>
      <c r="U36" s="520"/>
      <c r="V36" s="520"/>
      <c r="W36" s="520"/>
      <c r="X36" s="520"/>
      <c r="Y36" s="520"/>
      <c r="Z36" s="520"/>
      <c r="AA36" s="520"/>
      <c r="AB36" s="520"/>
      <c r="AC36" s="520"/>
      <c r="AD36" s="520"/>
    </row>
    <row r="37" spans="1:6" ht="12.75">
      <c r="A37" s="347"/>
      <c r="B37" s="347"/>
      <c r="C37" s="347"/>
      <c r="D37" s="347"/>
      <c r="E37" s="347"/>
      <c r="F37" s="347"/>
    </row>
    <row r="38" spans="1:7" ht="27" customHeight="1">
      <c r="A38" s="347"/>
      <c r="B38" s="347"/>
      <c r="C38" s="552" t="s">
        <v>87</v>
      </c>
      <c r="D38" s="552" t="s">
        <v>431</v>
      </c>
      <c r="E38" s="552" t="s">
        <v>432</v>
      </c>
      <c r="F38" s="553" t="s">
        <v>433</v>
      </c>
      <c r="G38" s="259" t="s">
        <v>434</v>
      </c>
    </row>
    <row r="39" spans="3:7" ht="52.5">
      <c r="C39" s="248" t="s">
        <v>88</v>
      </c>
      <c r="D39" s="248" t="s">
        <v>717</v>
      </c>
      <c r="E39" s="248" t="s">
        <v>9</v>
      </c>
      <c r="F39" s="554" t="s">
        <v>34</v>
      </c>
      <c r="G39" s="248">
        <v>1</v>
      </c>
    </row>
    <row r="40" spans="3:7" ht="52.5">
      <c r="C40" s="248" t="s">
        <v>89</v>
      </c>
      <c r="D40" s="248" t="s">
        <v>716</v>
      </c>
      <c r="E40" s="554" t="s">
        <v>9</v>
      </c>
      <c r="F40" s="248" t="s">
        <v>34</v>
      </c>
      <c r="G40" s="249">
        <v>2</v>
      </c>
    </row>
    <row r="41" spans="3:7" ht="78.75">
      <c r="C41" s="248" t="s">
        <v>90</v>
      </c>
      <c r="D41" s="248" t="s">
        <v>718</v>
      </c>
      <c r="E41" s="554" t="s">
        <v>9</v>
      </c>
      <c r="F41" s="248"/>
      <c r="G41" s="249">
        <v>2</v>
      </c>
    </row>
    <row r="42" spans="3:7" ht="12.75">
      <c r="C42" s="254"/>
      <c r="D42" s="254"/>
      <c r="E42" s="254"/>
      <c r="F42" s="254"/>
      <c r="G42" s="254"/>
    </row>
    <row r="43" spans="3:7" ht="12.75">
      <c r="C43" s="254"/>
      <c r="D43" s="254"/>
      <c r="E43" s="254"/>
      <c r="F43" s="254"/>
      <c r="G43" s="254"/>
    </row>
    <row r="44" spans="3:7" ht="12.75">
      <c r="C44" s="254"/>
      <c r="D44" s="254"/>
      <c r="E44" s="254"/>
      <c r="F44" s="254"/>
      <c r="G44" s="254"/>
    </row>
    <row r="45" spans="3:7" ht="12.75">
      <c r="C45" s="254"/>
      <c r="D45" s="254"/>
      <c r="E45" s="254"/>
      <c r="F45" s="556"/>
      <c r="G45" s="254"/>
    </row>
    <row r="46" ht="12.75">
      <c r="E46" s="539"/>
    </row>
    <row r="47" spans="3:30" ht="15">
      <c r="C47" s="253"/>
      <c r="D47" s="253"/>
      <c r="E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</row>
    <row r="48" ht="15">
      <c r="F48" s="253"/>
    </row>
    <row r="49" spans="3:7" ht="12.75" hidden="1">
      <c r="C49" s="258"/>
      <c r="D49" s="258"/>
      <c r="E49" s="258"/>
      <c r="F49" s="258"/>
      <c r="G49" s="259"/>
    </row>
    <row r="50" spans="3:7" ht="12.75" hidden="1">
      <c r="C50" s="931"/>
      <c r="D50" s="934"/>
      <c r="E50" s="935"/>
      <c r="F50" s="938"/>
      <c r="G50" s="939"/>
    </row>
    <row r="51" spans="3:7" ht="12.75" hidden="1">
      <c r="C51" s="932"/>
      <c r="D51" s="932"/>
      <c r="E51" s="936"/>
      <c r="F51" s="938"/>
      <c r="G51" s="940"/>
    </row>
    <row r="52" spans="3:7" ht="117.75" customHeight="1" hidden="1">
      <c r="C52" s="933"/>
      <c r="D52" s="933"/>
      <c r="E52" s="937"/>
      <c r="F52" s="938"/>
      <c r="G52" s="941"/>
    </row>
    <row r="53" ht="12.75">
      <c r="F53" s="255"/>
    </row>
  </sheetData>
  <sheetProtection/>
  <mergeCells count="23">
    <mergeCell ref="C50:C52"/>
    <mergeCell ref="D50:D52"/>
    <mergeCell ref="E50:E52"/>
    <mergeCell ref="F50:F52"/>
    <mergeCell ref="G50:G52"/>
    <mergeCell ref="C2:AD2"/>
    <mergeCell ref="M4:N4"/>
    <mergeCell ref="C25:D25"/>
    <mergeCell ref="U3:V3"/>
    <mergeCell ref="A3:H3"/>
    <mergeCell ref="K5:K6"/>
    <mergeCell ref="L5:L6"/>
    <mergeCell ref="M3:Q3"/>
    <mergeCell ref="A5:A24"/>
    <mergeCell ref="V5:V6"/>
    <mergeCell ref="J5:J6"/>
    <mergeCell ref="U26:V26"/>
    <mergeCell ref="U28:V28"/>
    <mergeCell ref="L26:M26"/>
    <mergeCell ref="L28:M28"/>
    <mergeCell ref="W3:Y3"/>
    <mergeCell ref="R26:S26"/>
    <mergeCell ref="R28:S2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69" r:id="rId1"/>
  <rowBreaks count="2" manualBreakCount="2">
    <brk id="32" max="32" man="1"/>
    <brk id="33" max="3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2:AB58"/>
  <sheetViews>
    <sheetView view="pageBreakPreview" zoomScale="55" zoomScaleNormal="40" zoomScaleSheetLayoutView="55" zoomScalePageLayoutView="0" workbookViewId="0" topLeftCell="A4">
      <pane ySplit="1428" topLeftCell="A37" activePane="bottomLeft" state="split"/>
      <selection pane="topLeft" activeCell="V104" sqref="V104"/>
      <selection pane="bottomLeft" activeCell="V104" sqref="V104"/>
    </sheetView>
  </sheetViews>
  <sheetFormatPr defaultColWidth="9.125" defaultRowHeight="12.75"/>
  <cols>
    <col min="1" max="1" width="14.375" style="246" customWidth="1"/>
    <col min="2" max="2" width="12.375" style="246" customWidth="1"/>
    <col min="3" max="3" width="20.50390625" style="246" customWidth="1"/>
    <col min="4" max="4" width="14.50390625" style="246" customWidth="1"/>
    <col min="5" max="5" width="13.00390625" style="246" customWidth="1"/>
    <col min="6" max="6" width="19.50390625" style="246" customWidth="1"/>
    <col min="7" max="7" width="22.875" style="246" customWidth="1"/>
    <col min="8" max="8" width="13.125" style="246" customWidth="1"/>
    <col min="9" max="9" width="11.875" style="246" customWidth="1"/>
    <col min="10" max="10" width="12.625" style="246" customWidth="1"/>
    <col min="11" max="11" width="10.50390625" style="246" customWidth="1"/>
    <col min="12" max="12" width="5.875" style="246" customWidth="1"/>
    <col min="13" max="13" width="7.375" style="246" customWidth="1"/>
    <col min="14" max="14" width="15.875" style="246" hidden="1" customWidth="1"/>
    <col min="15" max="15" width="15.875" style="246" customWidth="1"/>
    <col min="16" max="16" width="13.50390625" style="246" customWidth="1"/>
    <col min="17" max="23" width="15.875" style="246" customWidth="1"/>
    <col min="24" max="25" width="13.625" style="251" hidden="1" customWidth="1"/>
    <col min="26" max="26" width="18.375" style="246" hidden="1" customWidth="1"/>
    <col min="27" max="27" width="10.50390625" style="246" hidden="1" customWidth="1"/>
    <col min="28" max="28" width="22.00390625" style="246" customWidth="1"/>
    <col min="29" max="16384" width="9.125" style="246" customWidth="1"/>
  </cols>
  <sheetData>
    <row r="2" spans="1:28" ht="52.5" customHeight="1" thickBot="1">
      <c r="A2" s="535" t="s">
        <v>819</v>
      </c>
      <c r="B2" s="917" t="s">
        <v>411</v>
      </c>
      <c r="C2" s="917"/>
      <c r="D2" s="917"/>
      <c r="E2" s="917"/>
      <c r="F2" s="917"/>
      <c r="G2" s="917"/>
      <c r="H2" s="917"/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245"/>
      <c r="AB2" s="350"/>
    </row>
    <row r="3" spans="1:28" ht="36.75" customHeight="1">
      <c r="A3" s="944" t="s">
        <v>505</v>
      </c>
      <c r="B3" s="945"/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351"/>
      <c r="O3" s="916" t="s">
        <v>547</v>
      </c>
      <c r="P3" s="916"/>
      <c r="Q3" s="916" t="s">
        <v>507</v>
      </c>
      <c r="R3" s="916"/>
      <c r="S3" s="916" t="s">
        <v>54</v>
      </c>
      <c r="T3" s="916"/>
      <c r="U3" s="916"/>
      <c r="V3" s="352" t="s">
        <v>511</v>
      </c>
      <c r="W3" s="459" t="s">
        <v>549</v>
      </c>
      <c r="X3" s="354"/>
      <c r="Y3" s="354"/>
      <c r="Z3" s="354"/>
      <c r="AA3" s="355"/>
      <c r="AB3" s="356" t="s">
        <v>548</v>
      </c>
    </row>
    <row r="4" spans="1:28" ht="105">
      <c r="A4" s="357" t="s">
        <v>526</v>
      </c>
      <c r="B4" s="257" t="s">
        <v>412</v>
      </c>
      <c r="C4" s="257" t="s">
        <v>413</v>
      </c>
      <c r="D4" s="257" t="s">
        <v>414</v>
      </c>
      <c r="E4" s="257" t="s">
        <v>415</v>
      </c>
      <c r="F4" s="257" t="s">
        <v>416</v>
      </c>
      <c r="G4" s="348" t="s">
        <v>417</v>
      </c>
      <c r="H4" s="257" t="s">
        <v>418</v>
      </c>
      <c r="I4" s="257" t="s">
        <v>419</v>
      </c>
      <c r="J4" s="257" t="s">
        <v>420</v>
      </c>
      <c r="K4" s="257" t="s">
        <v>421</v>
      </c>
      <c r="L4" s="918" t="s">
        <v>516</v>
      </c>
      <c r="M4" s="919"/>
      <c r="N4" s="256" t="s">
        <v>422</v>
      </c>
      <c r="O4" s="256" t="s">
        <v>530</v>
      </c>
      <c r="P4" s="256" t="s">
        <v>517</v>
      </c>
      <c r="Q4" s="256" t="s">
        <v>506</v>
      </c>
      <c r="R4" s="256" t="s">
        <v>770</v>
      </c>
      <c r="S4" s="256" t="s">
        <v>509</v>
      </c>
      <c r="T4" s="256" t="s">
        <v>508</v>
      </c>
      <c r="U4" s="256" t="s">
        <v>510</v>
      </c>
      <c r="V4" s="430" t="s">
        <v>646</v>
      </c>
      <c r="W4" s="256" t="s">
        <v>531</v>
      </c>
      <c r="X4" s="256" t="s">
        <v>423</v>
      </c>
      <c r="Y4" s="256" t="s">
        <v>424</v>
      </c>
      <c r="Z4" s="256" t="s">
        <v>425</v>
      </c>
      <c r="AA4" s="256" t="s">
        <v>426</v>
      </c>
      <c r="AB4" s="358" t="s">
        <v>427</v>
      </c>
    </row>
    <row r="5" spans="1:28" s="347" customFormat="1" ht="30.75" customHeight="1">
      <c r="A5" s="942" t="s">
        <v>527</v>
      </c>
      <c r="B5" s="247" t="s">
        <v>503</v>
      </c>
      <c r="C5" s="247" t="s">
        <v>428</v>
      </c>
      <c r="D5" s="247">
        <v>5.1</v>
      </c>
      <c r="E5" s="247">
        <v>6.5</v>
      </c>
      <c r="F5" s="247">
        <v>6.5</v>
      </c>
      <c r="G5" s="247" t="s">
        <v>52</v>
      </c>
      <c r="H5" s="250" t="s">
        <v>504</v>
      </c>
      <c r="I5" s="247" t="s">
        <v>504</v>
      </c>
      <c r="J5" s="247" t="str">
        <f>I5</f>
        <v>X</v>
      </c>
      <c r="K5" s="247" t="s">
        <v>504</v>
      </c>
      <c r="L5" s="247" t="str">
        <f aca="true" t="shared" si="0" ref="L5:L13">G5</f>
        <v>D</v>
      </c>
      <c r="M5" s="247">
        <f>E5*D5</f>
        <v>33.15</v>
      </c>
      <c r="N5" s="247" t="s">
        <v>34</v>
      </c>
      <c r="O5" s="247" t="s">
        <v>34</v>
      </c>
      <c r="P5" s="247" t="s">
        <v>34</v>
      </c>
      <c r="Q5" s="247">
        <f>1.8*5.5</f>
        <v>9.9</v>
      </c>
      <c r="R5" s="247">
        <f>2.6*5.5</f>
        <v>14.3</v>
      </c>
      <c r="S5" s="247">
        <f>1.8*5.5</f>
        <v>9.9</v>
      </c>
      <c r="T5" s="247">
        <f>Q5+(5.5+0.8)*(2.6+0.4)</f>
        <v>28.8</v>
      </c>
      <c r="U5" s="247">
        <f>(2.6+0.15)*(5.5+0.3)</f>
        <v>15.95</v>
      </c>
      <c r="V5" s="247">
        <f>2.6*0.5*2</f>
        <v>2.6</v>
      </c>
      <c r="W5" s="247" t="s">
        <v>34</v>
      </c>
      <c r="X5" s="247" t="s">
        <v>504</v>
      </c>
      <c r="Y5" s="247" t="s">
        <v>34</v>
      </c>
      <c r="Z5" s="247" t="s">
        <v>34</v>
      </c>
      <c r="AA5" s="247" t="s">
        <v>34</v>
      </c>
      <c r="AB5" s="359" t="s">
        <v>512</v>
      </c>
    </row>
    <row r="6" spans="1:28" s="347" customFormat="1" ht="30.75" customHeight="1">
      <c r="A6" s="943"/>
      <c r="B6" s="247" t="s">
        <v>513</v>
      </c>
      <c r="C6" s="247" t="s">
        <v>428</v>
      </c>
      <c r="D6" s="247">
        <v>5.9</v>
      </c>
      <c r="E6" s="247">
        <v>4.5</v>
      </c>
      <c r="F6" s="247">
        <v>4.5</v>
      </c>
      <c r="G6" s="247" t="s">
        <v>58</v>
      </c>
      <c r="H6" s="250" t="s">
        <v>504</v>
      </c>
      <c r="I6" s="247" t="s">
        <v>504</v>
      </c>
      <c r="J6" s="247" t="s">
        <v>504</v>
      </c>
      <c r="K6" s="247" t="s">
        <v>504</v>
      </c>
      <c r="L6" s="247" t="str">
        <f t="shared" si="0"/>
        <v>A</v>
      </c>
      <c r="M6" s="247">
        <f>F6*D6</f>
        <v>26.55</v>
      </c>
      <c r="N6" s="247"/>
      <c r="O6" s="247" t="s">
        <v>34</v>
      </c>
      <c r="P6" s="247" t="s">
        <v>34</v>
      </c>
      <c r="Q6" s="247">
        <f>1.8*4.5</f>
        <v>8.1</v>
      </c>
      <c r="R6" s="247">
        <f>3.4*4.5</f>
        <v>15.3</v>
      </c>
      <c r="S6" s="247">
        <f>1.8*4.5</f>
        <v>8.1</v>
      </c>
      <c r="T6" s="247">
        <f>Q6+R6*1.32</f>
        <v>28.3</v>
      </c>
      <c r="U6" s="247">
        <f>R6*1.12</f>
        <v>17.14</v>
      </c>
      <c r="V6" s="247">
        <f>3.4*1</f>
        <v>3.4</v>
      </c>
      <c r="W6" s="247"/>
      <c r="X6" s="247"/>
      <c r="Y6" s="247"/>
      <c r="Z6" s="247"/>
      <c r="AA6" s="247"/>
      <c r="AB6" s="359" t="s">
        <v>512</v>
      </c>
    </row>
    <row r="7" spans="1:28" s="347" customFormat="1" ht="30.75" customHeight="1">
      <c r="A7" s="943"/>
      <c r="B7" s="247" t="s">
        <v>514</v>
      </c>
      <c r="C7" s="247" t="s">
        <v>428</v>
      </c>
      <c r="D7" s="247">
        <v>4.8</v>
      </c>
      <c r="E7" s="247">
        <v>6</v>
      </c>
      <c r="F7" s="247">
        <v>6</v>
      </c>
      <c r="G7" s="247" t="s">
        <v>60</v>
      </c>
      <c r="H7" s="250" t="s">
        <v>504</v>
      </c>
      <c r="I7" s="247" t="s">
        <v>504</v>
      </c>
      <c r="J7" s="247" t="s">
        <v>504</v>
      </c>
      <c r="K7" s="247" t="s">
        <v>504</v>
      </c>
      <c r="L7" s="247" t="str">
        <f t="shared" si="0"/>
        <v>B</v>
      </c>
      <c r="M7" s="247">
        <f>D7*E7</f>
        <v>28.8</v>
      </c>
      <c r="N7" s="247"/>
      <c r="O7" s="247" t="s">
        <v>34</v>
      </c>
      <c r="P7" s="247" t="s">
        <v>34</v>
      </c>
      <c r="Q7" s="247">
        <f>1.8*6</f>
        <v>10.8</v>
      </c>
      <c r="R7" s="247">
        <f>2.8*6</f>
        <v>16.8</v>
      </c>
      <c r="S7" s="247">
        <f>Q7</f>
        <v>10.8</v>
      </c>
      <c r="T7" s="247">
        <f>Q7+R7*1.32</f>
        <v>32.98</v>
      </c>
      <c r="U7" s="247">
        <f>R7*1.12</f>
        <v>18.82</v>
      </c>
      <c r="V7" s="247">
        <f>2.8*1</f>
        <v>2.8</v>
      </c>
      <c r="W7" s="247"/>
      <c r="X7" s="247"/>
      <c r="Y7" s="247"/>
      <c r="Z7" s="247"/>
      <c r="AA7" s="247"/>
      <c r="AB7" s="359" t="s">
        <v>512</v>
      </c>
    </row>
    <row r="8" spans="1:28" s="347" customFormat="1" ht="42.75" customHeight="1">
      <c r="A8" s="943"/>
      <c r="B8" s="247" t="s">
        <v>515</v>
      </c>
      <c r="C8" s="247" t="s">
        <v>428</v>
      </c>
      <c r="D8" s="247">
        <v>5.3</v>
      </c>
      <c r="E8" s="247">
        <v>7.8</v>
      </c>
      <c r="F8" s="247">
        <v>9</v>
      </c>
      <c r="G8" s="247" t="s">
        <v>65</v>
      </c>
      <c r="H8" s="250">
        <v>40</v>
      </c>
      <c r="I8" s="247">
        <v>8</v>
      </c>
      <c r="J8" s="247">
        <f>I8</f>
        <v>8</v>
      </c>
      <c r="K8" s="360" t="s">
        <v>429</v>
      </c>
      <c r="L8" s="247" t="str">
        <f t="shared" si="0"/>
        <v>F</v>
      </c>
      <c r="M8" s="247">
        <f>39.6</f>
        <v>39.6</v>
      </c>
      <c r="N8" s="247"/>
      <c r="O8" s="247" t="s">
        <v>34</v>
      </c>
      <c r="P8" s="247">
        <f>2*((7*0.6)*0.24*0.94)</f>
        <v>1.9</v>
      </c>
      <c r="Q8" s="247">
        <f>1.8*6+11.5</f>
        <v>22.3</v>
      </c>
      <c r="R8" s="247" t="s">
        <v>34</v>
      </c>
      <c r="S8" s="247">
        <f>Q8*1.12</f>
        <v>24.98</v>
      </c>
      <c r="T8" s="247">
        <f>S8*1.1</f>
        <v>27.48</v>
      </c>
      <c r="U8" s="247" t="s">
        <v>34</v>
      </c>
      <c r="V8" s="247">
        <f>2*1</f>
        <v>2</v>
      </c>
      <c r="W8" s="247"/>
      <c r="X8" s="247"/>
      <c r="Y8" s="247"/>
      <c r="Z8" s="247"/>
      <c r="AA8" s="247"/>
      <c r="AB8" s="359" t="s">
        <v>518</v>
      </c>
    </row>
    <row r="9" spans="1:28" s="347" customFormat="1" ht="42.75" customHeight="1">
      <c r="A9" s="943"/>
      <c r="B9" s="247" t="s">
        <v>519</v>
      </c>
      <c r="C9" s="247" t="s">
        <v>428</v>
      </c>
      <c r="D9" s="247">
        <v>6.5</v>
      </c>
      <c r="E9" s="247">
        <v>4</v>
      </c>
      <c r="F9" s="247">
        <v>4</v>
      </c>
      <c r="G9" s="247" t="s">
        <v>58</v>
      </c>
      <c r="H9" s="250">
        <v>40</v>
      </c>
      <c r="I9" s="247">
        <v>4.5</v>
      </c>
      <c r="J9" s="247">
        <v>4.5</v>
      </c>
      <c r="K9" s="247" t="s">
        <v>429</v>
      </c>
      <c r="L9" s="247" t="str">
        <f t="shared" si="0"/>
        <v>A</v>
      </c>
      <c r="M9" s="247">
        <f>E9*D9</f>
        <v>26</v>
      </c>
      <c r="N9" s="247"/>
      <c r="O9" s="247" t="s">
        <v>34</v>
      </c>
      <c r="P9" s="247">
        <f>0.4*0.4*6</f>
        <v>0.96</v>
      </c>
      <c r="Q9" s="247">
        <f>1.8*5</f>
        <v>9</v>
      </c>
      <c r="R9" s="247">
        <f>3.6*5</f>
        <v>18</v>
      </c>
      <c r="S9" s="247">
        <f>Q9</f>
        <v>9</v>
      </c>
      <c r="T9" s="247">
        <f>Q9+R9*1.32</f>
        <v>32.76</v>
      </c>
      <c r="U9" s="247">
        <f>R9*1.12</f>
        <v>20.16</v>
      </c>
      <c r="V9" s="247">
        <f>3.6*1</f>
        <v>3.6</v>
      </c>
      <c r="W9" s="247"/>
      <c r="X9" s="247"/>
      <c r="Y9" s="247"/>
      <c r="Z9" s="247"/>
      <c r="AA9" s="247"/>
      <c r="AB9" s="359" t="s">
        <v>518</v>
      </c>
    </row>
    <row r="10" spans="1:28" s="347" customFormat="1" ht="42.75" customHeight="1">
      <c r="A10" s="943"/>
      <c r="B10" s="247" t="s">
        <v>520</v>
      </c>
      <c r="C10" s="247" t="s">
        <v>428</v>
      </c>
      <c r="D10" s="247">
        <v>5.2</v>
      </c>
      <c r="E10" s="247">
        <v>5</v>
      </c>
      <c r="F10" s="247">
        <v>5</v>
      </c>
      <c r="G10" s="247" t="s">
        <v>60</v>
      </c>
      <c r="H10" s="250">
        <v>40</v>
      </c>
      <c r="I10" s="247">
        <f>10.8/2</f>
        <v>5.4</v>
      </c>
      <c r="J10" s="247">
        <f>I10</f>
        <v>5.4</v>
      </c>
      <c r="K10" s="247" t="s">
        <v>429</v>
      </c>
      <c r="L10" s="247" t="str">
        <f t="shared" si="0"/>
        <v>B</v>
      </c>
      <c r="M10" s="247">
        <f>F10*D10</f>
        <v>26</v>
      </c>
      <c r="N10" s="247"/>
      <c r="O10" s="247" t="s">
        <v>34</v>
      </c>
      <c r="P10" s="247" t="s">
        <v>504</v>
      </c>
      <c r="Q10" s="247">
        <f>1.8*5</f>
        <v>9</v>
      </c>
      <c r="R10" s="247">
        <f>3*5</f>
        <v>15</v>
      </c>
      <c r="S10" s="247">
        <f>Q10</f>
        <v>9</v>
      </c>
      <c r="T10" s="247">
        <f>Q10+R10*1.32</f>
        <v>28.8</v>
      </c>
      <c r="U10" s="247">
        <f>R10*1.12</f>
        <v>16.8</v>
      </c>
      <c r="V10" s="247">
        <f>3*1</f>
        <v>3</v>
      </c>
      <c r="W10" s="247"/>
      <c r="X10" s="247"/>
      <c r="Y10" s="247"/>
      <c r="Z10" s="247"/>
      <c r="AA10" s="247"/>
      <c r="AB10" s="359" t="s">
        <v>521</v>
      </c>
    </row>
    <row r="11" spans="1:28" s="347" customFormat="1" ht="42.75" customHeight="1">
      <c r="A11" s="943"/>
      <c r="B11" s="247" t="s">
        <v>522</v>
      </c>
      <c r="C11" s="247" t="s">
        <v>428</v>
      </c>
      <c r="D11" s="247">
        <v>5.2</v>
      </c>
      <c r="E11" s="247">
        <v>5</v>
      </c>
      <c r="F11" s="247">
        <v>5</v>
      </c>
      <c r="G11" s="247" t="s">
        <v>60</v>
      </c>
      <c r="H11" s="250" t="s">
        <v>504</v>
      </c>
      <c r="I11" s="247" t="s">
        <v>504</v>
      </c>
      <c r="J11" s="247" t="s">
        <v>504</v>
      </c>
      <c r="K11" s="247" t="s">
        <v>504</v>
      </c>
      <c r="L11" s="247" t="str">
        <f t="shared" si="0"/>
        <v>B</v>
      </c>
      <c r="M11" s="247">
        <f>F11*D11</f>
        <v>26</v>
      </c>
      <c r="N11" s="247"/>
      <c r="O11" s="247">
        <f>0.15*1.5*2*3</f>
        <v>1.35</v>
      </c>
      <c r="P11" s="247" t="s">
        <v>504</v>
      </c>
      <c r="Q11" s="247">
        <f>1.8*5</f>
        <v>9</v>
      </c>
      <c r="R11" s="247">
        <f>3*5</f>
        <v>15</v>
      </c>
      <c r="S11" s="247">
        <f>Q11</f>
        <v>9</v>
      </c>
      <c r="T11" s="247">
        <f>Q11+R11*1.32</f>
        <v>28.8</v>
      </c>
      <c r="U11" s="247">
        <f>R11*1.12</f>
        <v>16.8</v>
      </c>
      <c r="V11" s="247">
        <f>3*1</f>
        <v>3</v>
      </c>
      <c r="W11" s="247"/>
      <c r="X11" s="247"/>
      <c r="Y11" s="247"/>
      <c r="Z11" s="247"/>
      <c r="AA11" s="247"/>
      <c r="AB11" s="359" t="s">
        <v>523</v>
      </c>
    </row>
    <row r="12" spans="1:28" s="347" customFormat="1" ht="42.75" customHeight="1">
      <c r="A12" s="943"/>
      <c r="B12" s="247" t="s">
        <v>524</v>
      </c>
      <c r="C12" s="247" t="s">
        <v>428</v>
      </c>
      <c r="D12" s="247">
        <v>4.4</v>
      </c>
      <c r="E12" s="247">
        <v>5</v>
      </c>
      <c r="F12" s="247">
        <v>5</v>
      </c>
      <c r="G12" s="247" t="s">
        <v>52</v>
      </c>
      <c r="H12" s="250">
        <v>40</v>
      </c>
      <c r="I12" s="247">
        <v>5.5</v>
      </c>
      <c r="J12" s="247">
        <v>5.5</v>
      </c>
      <c r="K12" s="247" t="s">
        <v>429</v>
      </c>
      <c r="L12" s="247" t="str">
        <f t="shared" si="0"/>
        <v>D</v>
      </c>
      <c r="M12" s="247">
        <f>D12*E12</f>
        <v>22</v>
      </c>
      <c r="N12" s="247"/>
      <c r="O12" s="247" t="s">
        <v>504</v>
      </c>
      <c r="P12" s="247">
        <f>2*0.15*4.5*1.2</f>
        <v>1.62</v>
      </c>
      <c r="Q12" s="247">
        <f>1.8*5</f>
        <v>9</v>
      </c>
      <c r="R12" s="247">
        <f>2.1*5</f>
        <v>10.5</v>
      </c>
      <c r="S12" s="247">
        <f>Q12</f>
        <v>9</v>
      </c>
      <c r="T12" s="247">
        <f>Q12+R12*1.32</f>
        <v>22.86</v>
      </c>
      <c r="U12" s="247">
        <f>R12*1.12</f>
        <v>11.76</v>
      </c>
      <c r="V12" s="247">
        <f>2.5</f>
        <v>2.5</v>
      </c>
      <c r="W12" s="247"/>
      <c r="X12" s="247"/>
      <c r="Y12" s="247"/>
      <c r="Z12" s="247"/>
      <c r="AA12" s="247"/>
      <c r="AB12" s="359" t="s">
        <v>518</v>
      </c>
    </row>
    <row r="13" spans="1:28" s="347" customFormat="1" ht="42.75" customHeight="1">
      <c r="A13" s="943"/>
      <c r="B13" s="247" t="s">
        <v>525</v>
      </c>
      <c r="C13" s="247" t="s">
        <v>428</v>
      </c>
      <c r="D13" s="247">
        <v>4</v>
      </c>
      <c r="E13" s="247">
        <v>5</v>
      </c>
      <c r="F13" s="247">
        <v>7.4</v>
      </c>
      <c r="G13" s="247" t="s">
        <v>60</v>
      </c>
      <c r="H13" s="250">
        <v>40</v>
      </c>
      <c r="I13" s="247">
        <v>5</v>
      </c>
      <c r="J13" s="247">
        <f>I13</f>
        <v>5</v>
      </c>
      <c r="K13" s="247" t="s">
        <v>429</v>
      </c>
      <c r="L13" s="247" t="str">
        <f t="shared" si="0"/>
        <v>B</v>
      </c>
      <c r="M13" s="247">
        <f>D13*E13</f>
        <v>20</v>
      </c>
      <c r="N13" s="247"/>
      <c r="O13" s="247" t="s">
        <v>34</v>
      </c>
      <c r="P13" s="247">
        <f>2*0.2*4.5*1.2</f>
        <v>2.16</v>
      </c>
      <c r="Q13" s="247">
        <f>1.8*5.5</f>
        <v>9.9</v>
      </c>
      <c r="R13" s="247">
        <f>3*5.5</f>
        <v>16.5</v>
      </c>
      <c r="S13" s="247">
        <f>Q13</f>
        <v>9.9</v>
      </c>
      <c r="T13" s="247">
        <f>Q13+R13*1.32</f>
        <v>31.68</v>
      </c>
      <c r="U13" s="247">
        <f>R13*1.12</f>
        <v>18.48</v>
      </c>
      <c r="V13" s="247">
        <f>3</f>
        <v>3</v>
      </c>
      <c r="W13" s="247"/>
      <c r="X13" s="247"/>
      <c r="Y13" s="247"/>
      <c r="Z13" s="247"/>
      <c r="AA13" s="247"/>
      <c r="AB13" s="359" t="s">
        <v>518</v>
      </c>
    </row>
    <row r="14" spans="1:28" s="347" customFormat="1" ht="13.5" customHeight="1">
      <c r="A14" s="946" t="s">
        <v>34</v>
      </c>
      <c r="B14" s="913" t="s">
        <v>546</v>
      </c>
      <c r="C14" s="913" t="s">
        <v>34</v>
      </c>
      <c r="D14" s="458" t="s">
        <v>34</v>
      </c>
      <c r="E14" s="458" t="s">
        <v>34</v>
      </c>
      <c r="F14" s="458" t="s">
        <v>34</v>
      </c>
      <c r="G14" s="458" t="s">
        <v>34</v>
      </c>
      <c r="H14" s="252" t="s">
        <v>34</v>
      </c>
      <c r="I14" s="458">
        <f>SUM(I5:I13)</f>
        <v>28.4</v>
      </c>
      <c r="J14" s="458">
        <f>SUM(J5:J13)</f>
        <v>28.4</v>
      </c>
      <c r="K14" s="252" t="s">
        <v>34</v>
      </c>
      <c r="L14" s="252" t="s">
        <v>58</v>
      </c>
      <c r="M14" s="458">
        <f>M6+M9</f>
        <v>52.55</v>
      </c>
      <c r="N14" s="247"/>
      <c r="O14" s="458">
        <f aca="true" t="shared" si="1" ref="O14:V14">SUM(O5:O13)</f>
        <v>1.35</v>
      </c>
      <c r="P14" s="458">
        <f t="shared" si="1"/>
        <v>6.64</v>
      </c>
      <c r="Q14" s="458">
        <f t="shared" si="1"/>
        <v>97</v>
      </c>
      <c r="R14" s="458">
        <f t="shared" si="1"/>
        <v>121.4</v>
      </c>
      <c r="S14" s="458">
        <f t="shared" si="1"/>
        <v>99.68</v>
      </c>
      <c r="T14" s="458">
        <f t="shared" si="1"/>
        <v>262.46</v>
      </c>
      <c r="U14" s="458">
        <f t="shared" si="1"/>
        <v>135.91</v>
      </c>
      <c r="V14" s="458">
        <f t="shared" si="1"/>
        <v>25.9</v>
      </c>
      <c r="W14" s="458" t="s">
        <v>504</v>
      </c>
      <c r="X14" s="458"/>
      <c r="Y14" s="458"/>
      <c r="Z14" s="458"/>
      <c r="AA14" s="458"/>
      <c r="AB14" s="361" t="s">
        <v>34</v>
      </c>
    </row>
    <row r="15" spans="1:28" s="347" customFormat="1" ht="16.5" customHeight="1">
      <c r="A15" s="947"/>
      <c r="B15" s="949"/>
      <c r="C15" s="950"/>
      <c r="D15" s="950"/>
      <c r="E15" s="950"/>
      <c r="F15" s="950"/>
      <c r="G15" s="950"/>
      <c r="H15" s="950"/>
      <c r="I15" s="950"/>
      <c r="J15" s="950"/>
      <c r="K15" s="951"/>
      <c r="L15" s="252" t="s">
        <v>60</v>
      </c>
      <c r="M15" s="458">
        <f>M7+M10+M11+M13</f>
        <v>100.8</v>
      </c>
      <c r="N15" s="344"/>
      <c r="O15" s="949"/>
      <c r="P15" s="950"/>
      <c r="Q15" s="950"/>
      <c r="R15" s="950"/>
      <c r="S15" s="950"/>
      <c r="T15" s="950"/>
      <c r="U15" s="950"/>
      <c r="V15" s="950"/>
      <c r="W15" s="950"/>
      <c r="X15" s="950"/>
      <c r="Y15" s="950"/>
      <c r="Z15" s="950"/>
      <c r="AA15" s="950"/>
      <c r="AB15" s="958"/>
    </row>
    <row r="16" spans="1:28" s="347" customFormat="1" ht="16.5" customHeight="1" hidden="1">
      <c r="A16" s="947"/>
      <c r="B16" s="952"/>
      <c r="C16" s="953"/>
      <c r="D16" s="953"/>
      <c r="E16" s="953"/>
      <c r="F16" s="953"/>
      <c r="G16" s="953"/>
      <c r="H16" s="953"/>
      <c r="I16" s="953"/>
      <c r="J16" s="953"/>
      <c r="K16" s="954"/>
      <c r="L16" s="252" t="s">
        <v>62</v>
      </c>
      <c r="M16" s="458">
        <v>0</v>
      </c>
      <c r="N16" s="344"/>
      <c r="O16" s="952"/>
      <c r="P16" s="953"/>
      <c r="Q16" s="953"/>
      <c r="R16" s="953"/>
      <c r="S16" s="953"/>
      <c r="T16" s="953"/>
      <c r="U16" s="953"/>
      <c r="V16" s="953"/>
      <c r="W16" s="953"/>
      <c r="X16" s="953"/>
      <c r="Y16" s="953"/>
      <c r="Z16" s="953"/>
      <c r="AA16" s="953"/>
      <c r="AB16" s="959"/>
    </row>
    <row r="17" spans="1:28" s="347" customFormat="1" ht="15.75" customHeight="1">
      <c r="A17" s="947"/>
      <c r="B17" s="952"/>
      <c r="C17" s="953"/>
      <c r="D17" s="953"/>
      <c r="E17" s="953"/>
      <c r="F17" s="953"/>
      <c r="G17" s="953"/>
      <c r="H17" s="953"/>
      <c r="I17" s="953"/>
      <c r="J17" s="953"/>
      <c r="K17" s="954"/>
      <c r="L17" s="252" t="s">
        <v>52</v>
      </c>
      <c r="M17" s="458">
        <f>M5+M12</f>
        <v>55.15</v>
      </c>
      <c r="N17" s="344"/>
      <c r="O17" s="952"/>
      <c r="P17" s="953"/>
      <c r="Q17" s="953"/>
      <c r="R17" s="953"/>
      <c r="S17" s="953"/>
      <c r="T17" s="953"/>
      <c r="U17" s="953"/>
      <c r="V17" s="953"/>
      <c r="W17" s="953"/>
      <c r="X17" s="953"/>
      <c r="Y17" s="953"/>
      <c r="Z17" s="953"/>
      <c r="AA17" s="953"/>
      <c r="AB17" s="959"/>
    </row>
    <row r="18" spans="1:28" s="347" customFormat="1" ht="15" customHeight="1" hidden="1">
      <c r="A18" s="947"/>
      <c r="B18" s="952"/>
      <c r="C18" s="953"/>
      <c r="D18" s="953"/>
      <c r="E18" s="953"/>
      <c r="F18" s="953"/>
      <c r="G18" s="953"/>
      <c r="H18" s="953"/>
      <c r="I18" s="953"/>
      <c r="J18" s="953"/>
      <c r="K18" s="954"/>
      <c r="L18" s="252" t="s">
        <v>53</v>
      </c>
      <c r="M18" s="458"/>
      <c r="N18" s="344"/>
      <c r="O18" s="952"/>
      <c r="P18" s="953"/>
      <c r="Q18" s="953"/>
      <c r="R18" s="953"/>
      <c r="S18" s="953"/>
      <c r="T18" s="953"/>
      <c r="U18" s="953"/>
      <c r="V18" s="953"/>
      <c r="W18" s="953"/>
      <c r="X18" s="953"/>
      <c r="Y18" s="953"/>
      <c r="Z18" s="953"/>
      <c r="AA18" s="953"/>
      <c r="AB18" s="959"/>
    </row>
    <row r="19" spans="1:28" s="347" customFormat="1" ht="12.75" customHeight="1">
      <c r="A19" s="948"/>
      <c r="B19" s="955"/>
      <c r="C19" s="956"/>
      <c r="D19" s="956"/>
      <c r="E19" s="956"/>
      <c r="F19" s="956"/>
      <c r="G19" s="956"/>
      <c r="H19" s="956"/>
      <c r="I19" s="956"/>
      <c r="J19" s="956"/>
      <c r="K19" s="957"/>
      <c r="L19" s="252" t="s">
        <v>65</v>
      </c>
      <c r="M19" s="458">
        <f>M8</f>
        <v>39.6</v>
      </c>
      <c r="N19" s="344"/>
      <c r="O19" s="955"/>
      <c r="P19" s="956"/>
      <c r="Q19" s="956"/>
      <c r="R19" s="956"/>
      <c r="S19" s="956"/>
      <c r="T19" s="956"/>
      <c r="U19" s="956"/>
      <c r="V19" s="956"/>
      <c r="W19" s="956"/>
      <c r="X19" s="956"/>
      <c r="Y19" s="956"/>
      <c r="Z19" s="956"/>
      <c r="AA19" s="956"/>
      <c r="AB19" s="960"/>
    </row>
    <row r="20" spans="1:28" s="347" customFormat="1" ht="16.5" customHeight="1" hidden="1">
      <c r="A20" s="362"/>
      <c r="B20" s="344"/>
      <c r="C20" s="344"/>
      <c r="D20" s="344"/>
      <c r="E20" s="344"/>
      <c r="F20" s="344"/>
      <c r="G20" s="344"/>
      <c r="H20" s="349"/>
      <c r="I20" s="344"/>
      <c r="J20" s="344"/>
      <c r="K20" s="344"/>
      <c r="L20" s="252" t="s">
        <v>67</v>
      </c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63"/>
    </row>
    <row r="21" spans="1:28" s="347" customFormat="1" ht="46.5" customHeight="1">
      <c r="A21" s="364" t="s">
        <v>536</v>
      </c>
      <c r="B21" s="344" t="s">
        <v>528</v>
      </c>
      <c r="C21" s="344" t="s">
        <v>428</v>
      </c>
      <c r="D21" s="344">
        <v>4</v>
      </c>
      <c r="E21" s="344">
        <v>8.5</v>
      </c>
      <c r="F21" s="344">
        <v>8.5</v>
      </c>
      <c r="G21" s="344" t="s">
        <v>58</v>
      </c>
      <c r="H21" s="349" t="s">
        <v>504</v>
      </c>
      <c r="I21" s="344" t="s">
        <v>504</v>
      </c>
      <c r="J21" s="344" t="s">
        <v>504</v>
      </c>
      <c r="K21" s="344" t="s">
        <v>504</v>
      </c>
      <c r="L21" s="344" t="str">
        <f aca="true" t="shared" si="2" ref="L21:L29">G21</f>
        <v>A</v>
      </c>
      <c r="M21" s="344">
        <f>E21*D21</f>
        <v>34</v>
      </c>
      <c r="N21" s="345" t="s">
        <v>34</v>
      </c>
      <c r="O21" s="345" t="s">
        <v>504</v>
      </c>
      <c r="P21" s="345" t="s">
        <v>504</v>
      </c>
      <c r="Q21" s="345">
        <f>1.8*6</f>
        <v>10.8</v>
      </c>
      <c r="R21" s="247">
        <f>2*6</f>
        <v>12</v>
      </c>
      <c r="S21" s="247">
        <f aca="true" t="shared" si="3" ref="S21:S29">Q21</f>
        <v>10.8</v>
      </c>
      <c r="T21" s="247">
        <f>Q21+R21*1.32</f>
        <v>26.64</v>
      </c>
      <c r="U21" s="247">
        <f>R21*1.12</f>
        <v>13.44</v>
      </c>
      <c r="V21" s="247">
        <f>2</f>
        <v>2</v>
      </c>
      <c r="W21" s="344" t="s">
        <v>504</v>
      </c>
      <c r="X21" s="344"/>
      <c r="Y21" s="344"/>
      <c r="Z21" s="344"/>
      <c r="AA21" s="344" t="s">
        <v>504</v>
      </c>
      <c r="AB21" s="365" t="s">
        <v>512</v>
      </c>
    </row>
    <row r="22" spans="1:28" s="347" customFormat="1" ht="54" customHeight="1">
      <c r="A22" s="942" t="s">
        <v>545</v>
      </c>
      <c r="B22" s="344" t="s">
        <v>529</v>
      </c>
      <c r="C22" s="344" t="s">
        <v>428</v>
      </c>
      <c r="D22" s="344">
        <v>4</v>
      </c>
      <c r="E22" s="344">
        <v>10</v>
      </c>
      <c r="F22" s="344">
        <v>10</v>
      </c>
      <c r="G22" s="344" t="s">
        <v>65</v>
      </c>
      <c r="H22" s="349">
        <v>40</v>
      </c>
      <c r="I22" s="344">
        <v>19</v>
      </c>
      <c r="J22" s="344">
        <v>19</v>
      </c>
      <c r="K22" s="344" t="s">
        <v>429</v>
      </c>
      <c r="L22" s="344" t="str">
        <f t="shared" si="2"/>
        <v>F</v>
      </c>
      <c r="M22" s="344">
        <f>E22*D22</f>
        <v>40</v>
      </c>
      <c r="N22" s="345"/>
      <c r="O22" s="345">
        <f>10*0.15*0.3</f>
        <v>0.45</v>
      </c>
      <c r="P22" s="345" t="s">
        <v>504</v>
      </c>
      <c r="Q22" s="345">
        <f>1.8*6</f>
        <v>10.8</v>
      </c>
      <c r="R22" s="247" t="s">
        <v>504</v>
      </c>
      <c r="S22" s="247">
        <f t="shared" si="3"/>
        <v>10.8</v>
      </c>
      <c r="T22" s="247">
        <f>Q22</f>
        <v>10.8</v>
      </c>
      <c r="U22" s="247">
        <v>0</v>
      </c>
      <c r="V22" s="247">
        <f>4*0.5*2</f>
        <v>4</v>
      </c>
      <c r="W22" s="344">
        <f>6*2+2.6</f>
        <v>14.6</v>
      </c>
      <c r="X22" s="344"/>
      <c r="Y22" s="344"/>
      <c r="Z22" s="344"/>
      <c r="AA22" s="344">
        <v>10</v>
      </c>
      <c r="AB22" s="365" t="s">
        <v>532</v>
      </c>
    </row>
    <row r="23" spans="1:28" s="347" customFormat="1" ht="39" customHeight="1">
      <c r="A23" s="943"/>
      <c r="B23" s="344" t="s">
        <v>533</v>
      </c>
      <c r="C23" s="344" t="s">
        <v>428</v>
      </c>
      <c r="D23" s="344">
        <v>3.6</v>
      </c>
      <c r="E23" s="344">
        <v>5</v>
      </c>
      <c r="F23" s="344">
        <v>5</v>
      </c>
      <c r="G23" s="344" t="s">
        <v>58</v>
      </c>
      <c r="H23" s="349">
        <v>40</v>
      </c>
      <c r="I23" s="344">
        <v>5</v>
      </c>
      <c r="J23" s="344">
        <v>5</v>
      </c>
      <c r="K23" s="344" t="s">
        <v>429</v>
      </c>
      <c r="L23" s="344" t="str">
        <f t="shared" si="2"/>
        <v>A</v>
      </c>
      <c r="M23" s="344">
        <f>D23*E23</f>
        <v>18</v>
      </c>
      <c r="N23" s="345"/>
      <c r="O23" s="345" t="s">
        <v>504</v>
      </c>
      <c r="P23" s="345" t="s">
        <v>504</v>
      </c>
      <c r="Q23" s="345">
        <f>1.8*5</f>
        <v>9</v>
      </c>
      <c r="R23" s="247">
        <f>1.5*5</f>
        <v>7.5</v>
      </c>
      <c r="S23" s="247">
        <f t="shared" si="3"/>
        <v>9</v>
      </c>
      <c r="T23" s="247">
        <f aca="true" t="shared" si="4" ref="T23:T29">Q23+R23*1.32</f>
        <v>18.9</v>
      </c>
      <c r="U23" s="247">
        <f aca="true" t="shared" si="5" ref="U23:U30">R23*1.12</f>
        <v>8.4</v>
      </c>
      <c r="V23" s="247">
        <f>1.5</f>
        <v>1.5</v>
      </c>
      <c r="W23" s="344" t="s">
        <v>504</v>
      </c>
      <c r="X23" s="344"/>
      <c r="Y23" s="344"/>
      <c r="Z23" s="344"/>
      <c r="AA23" s="344" t="s">
        <v>504</v>
      </c>
      <c r="AB23" s="365" t="s">
        <v>521</v>
      </c>
    </row>
    <row r="24" spans="1:28" s="347" customFormat="1" ht="27.75" customHeight="1">
      <c r="A24" s="943"/>
      <c r="B24" s="344" t="s">
        <v>534</v>
      </c>
      <c r="C24" s="344" t="s">
        <v>428</v>
      </c>
      <c r="D24" s="344">
        <v>4</v>
      </c>
      <c r="E24" s="344">
        <v>4.5</v>
      </c>
      <c r="F24" s="344">
        <v>4.5</v>
      </c>
      <c r="G24" s="344" t="s">
        <v>52</v>
      </c>
      <c r="H24" s="349">
        <v>40</v>
      </c>
      <c r="I24" s="344">
        <v>4.5</v>
      </c>
      <c r="J24" s="344">
        <f>I24</f>
        <v>4.5</v>
      </c>
      <c r="K24" s="344" t="s">
        <v>429</v>
      </c>
      <c r="L24" s="344" t="str">
        <f t="shared" si="2"/>
        <v>D</v>
      </c>
      <c r="M24" s="344">
        <f>D24*E24</f>
        <v>18</v>
      </c>
      <c r="N24" s="345"/>
      <c r="O24" s="345" t="s">
        <v>504</v>
      </c>
      <c r="P24" s="345" t="s">
        <v>504</v>
      </c>
      <c r="Q24" s="345">
        <f>1.8*4.5</f>
        <v>8.1</v>
      </c>
      <c r="R24" s="247">
        <f>2.5*4.5</f>
        <v>11.25</v>
      </c>
      <c r="S24" s="247">
        <f t="shared" si="3"/>
        <v>8.1</v>
      </c>
      <c r="T24" s="247">
        <f t="shared" si="4"/>
        <v>22.95</v>
      </c>
      <c r="U24" s="247">
        <f t="shared" si="5"/>
        <v>12.6</v>
      </c>
      <c r="V24" s="247">
        <f>2.5*2*0.5</f>
        <v>2.5</v>
      </c>
      <c r="W24" s="344" t="s">
        <v>504</v>
      </c>
      <c r="X24" s="344"/>
      <c r="Y24" s="344"/>
      <c r="Z24" s="344"/>
      <c r="AA24" s="344" t="s">
        <v>504</v>
      </c>
      <c r="AB24" s="365" t="s">
        <v>521</v>
      </c>
    </row>
    <row r="25" spans="1:28" s="347" customFormat="1" ht="27.75" customHeight="1">
      <c r="A25" s="943"/>
      <c r="B25" s="344" t="s">
        <v>535</v>
      </c>
      <c r="C25" s="344" t="s">
        <v>428</v>
      </c>
      <c r="D25" s="344">
        <v>4</v>
      </c>
      <c r="E25" s="344">
        <v>4.5</v>
      </c>
      <c r="F25" s="344">
        <v>4.5</v>
      </c>
      <c r="G25" s="344" t="s">
        <v>52</v>
      </c>
      <c r="H25" s="349">
        <v>40</v>
      </c>
      <c r="I25" s="344">
        <v>4.5</v>
      </c>
      <c r="J25" s="344">
        <f>I25</f>
        <v>4.5</v>
      </c>
      <c r="K25" s="344" t="s">
        <v>429</v>
      </c>
      <c r="L25" s="344" t="str">
        <f t="shared" si="2"/>
        <v>D</v>
      </c>
      <c r="M25" s="344">
        <f>D25*E25</f>
        <v>18</v>
      </c>
      <c r="N25" s="345"/>
      <c r="O25" s="345" t="s">
        <v>504</v>
      </c>
      <c r="P25" s="345" t="s">
        <v>504</v>
      </c>
      <c r="Q25" s="345">
        <f>1.8*4.5</f>
        <v>8.1</v>
      </c>
      <c r="R25" s="247">
        <f>2.5*4.5</f>
        <v>11.25</v>
      </c>
      <c r="S25" s="247">
        <f t="shared" si="3"/>
        <v>8.1</v>
      </c>
      <c r="T25" s="247">
        <f t="shared" si="4"/>
        <v>22.95</v>
      </c>
      <c r="U25" s="247">
        <f t="shared" si="5"/>
        <v>12.6</v>
      </c>
      <c r="V25" s="247">
        <f>2.5*2*0.5</f>
        <v>2.5</v>
      </c>
      <c r="W25" s="344" t="s">
        <v>504</v>
      </c>
      <c r="X25" s="344"/>
      <c r="Y25" s="344"/>
      <c r="Z25" s="344"/>
      <c r="AA25" s="344" t="s">
        <v>504</v>
      </c>
      <c r="AB25" s="365" t="s">
        <v>521</v>
      </c>
    </row>
    <row r="26" spans="1:28" s="347" customFormat="1" ht="27.75" customHeight="1">
      <c r="A26" s="943"/>
      <c r="B26" s="344" t="s">
        <v>537</v>
      </c>
      <c r="C26" s="344" t="s">
        <v>428</v>
      </c>
      <c r="D26" s="344">
        <v>4</v>
      </c>
      <c r="E26" s="344">
        <v>4.5</v>
      </c>
      <c r="F26" s="344">
        <v>4.5</v>
      </c>
      <c r="G26" s="344" t="s">
        <v>58</v>
      </c>
      <c r="H26" s="349" t="s">
        <v>504</v>
      </c>
      <c r="I26" s="344" t="s">
        <v>504</v>
      </c>
      <c r="J26" s="344" t="s">
        <v>504</v>
      </c>
      <c r="K26" s="344" t="s">
        <v>504</v>
      </c>
      <c r="L26" s="344" t="str">
        <f t="shared" si="2"/>
        <v>A</v>
      </c>
      <c r="M26" s="344">
        <f>E26*D26</f>
        <v>18</v>
      </c>
      <c r="N26" s="345"/>
      <c r="O26" s="345" t="s">
        <v>504</v>
      </c>
      <c r="P26" s="345" t="s">
        <v>504</v>
      </c>
      <c r="Q26" s="345">
        <f>1.8*4.5</f>
        <v>8.1</v>
      </c>
      <c r="R26" s="247">
        <f>1.5*4.5</f>
        <v>6.75</v>
      </c>
      <c r="S26" s="247">
        <f t="shared" si="3"/>
        <v>8.1</v>
      </c>
      <c r="T26" s="247">
        <f t="shared" si="4"/>
        <v>17.01</v>
      </c>
      <c r="U26" s="247">
        <f t="shared" si="5"/>
        <v>7.56</v>
      </c>
      <c r="V26" s="247">
        <f>1.5*2*0.5</f>
        <v>1.5</v>
      </c>
      <c r="W26" s="344" t="s">
        <v>504</v>
      </c>
      <c r="X26" s="344"/>
      <c r="Y26" s="344"/>
      <c r="Z26" s="344"/>
      <c r="AA26" s="344" t="s">
        <v>504</v>
      </c>
      <c r="AB26" s="365" t="s">
        <v>538</v>
      </c>
    </row>
    <row r="27" spans="1:28" s="347" customFormat="1" ht="27.75" customHeight="1">
      <c r="A27" s="943"/>
      <c r="B27" s="344" t="s">
        <v>539</v>
      </c>
      <c r="C27" s="344" t="s">
        <v>428</v>
      </c>
      <c r="D27" s="344">
        <v>4</v>
      </c>
      <c r="E27" s="344">
        <v>4.5</v>
      </c>
      <c r="F27" s="344">
        <v>4.5</v>
      </c>
      <c r="G27" s="344" t="s">
        <v>53</v>
      </c>
      <c r="H27" s="349">
        <v>40</v>
      </c>
      <c r="I27" s="344">
        <v>5</v>
      </c>
      <c r="J27" s="344">
        <f>I27</f>
        <v>5</v>
      </c>
      <c r="K27" s="344" t="s">
        <v>429</v>
      </c>
      <c r="L27" s="344" t="str">
        <f t="shared" si="2"/>
        <v>E</v>
      </c>
      <c r="M27" s="344">
        <f>E27*D27</f>
        <v>18</v>
      </c>
      <c r="N27" s="345"/>
      <c r="O27" s="345" t="s">
        <v>504</v>
      </c>
      <c r="P27" s="345" t="s">
        <v>504</v>
      </c>
      <c r="Q27" s="345">
        <f>1.8*4.5</f>
        <v>8.1</v>
      </c>
      <c r="R27" s="247">
        <f>1*4.5</f>
        <v>4.5</v>
      </c>
      <c r="S27" s="247">
        <f t="shared" si="3"/>
        <v>8.1</v>
      </c>
      <c r="T27" s="247">
        <f t="shared" si="4"/>
        <v>14.04</v>
      </c>
      <c r="U27" s="247">
        <f t="shared" si="5"/>
        <v>5.04</v>
      </c>
      <c r="V27" s="247">
        <f>1*2*0.5</f>
        <v>1</v>
      </c>
      <c r="W27" s="344" t="s">
        <v>504</v>
      </c>
      <c r="X27" s="344"/>
      <c r="Y27" s="344"/>
      <c r="Z27" s="344"/>
      <c r="AA27" s="344" t="s">
        <v>504</v>
      </c>
      <c r="AB27" s="365" t="s">
        <v>541</v>
      </c>
    </row>
    <row r="28" spans="1:28" s="347" customFormat="1" ht="27.75" customHeight="1">
      <c r="A28" s="943"/>
      <c r="B28" s="344" t="s">
        <v>540</v>
      </c>
      <c r="C28" s="344" t="s">
        <v>428</v>
      </c>
      <c r="D28" s="344">
        <v>4.5</v>
      </c>
      <c r="E28" s="344">
        <v>8.5</v>
      </c>
      <c r="F28" s="344">
        <v>8.5</v>
      </c>
      <c r="G28" s="344" t="s">
        <v>67</v>
      </c>
      <c r="H28" s="349">
        <v>40</v>
      </c>
      <c r="I28" s="344">
        <v>8.5</v>
      </c>
      <c r="J28" s="344">
        <f>I28</f>
        <v>8.5</v>
      </c>
      <c r="K28" s="344" t="s">
        <v>429</v>
      </c>
      <c r="L28" s="344" t="str">
        <f t="shared" si="2"/>
        <v>G</v>
      </c>
      <c r="M28" s="344">
        <f>D28*E28</f>
        <v>38.25</v>
      </c>
      <c r="N28" s="345"/>
      <c r="O28" s="345" t="s">
        <v>504</v>
      </c>
      <c r="P28" s="345" t="s">
        <v>504</v>
      </c>
      <c r="Q28" s="345">
        <f>1.8*5</f>
        <v>9</v>
      </c>
      <c r="R28" s="247">
        <f>2.5*5</f>
        <v>12.5</v>
      </c>
      <c r="S28" s="247">
        <f t="shared" si="3"/>
        <v>9</v>
      </c>
      <c r="T28" s="247">
        <f t="shared" si="4"/>
        <v>25.5</v>
      </c>
      <c r="U28" s="247">
        <f t="shared" si="5"/>
        <v>14</v>
      </c>
      <c r="V28" s="247">
        <f>1.5*2*0.5</f>
        <v>1.5</v>
      </c>
      <c r="W28" s="344" t="s">
        <v>504</v>
      </c>
      <c r="X28" s="344"/>
      <c r="Y28" s="344"/>
      <c r="Z28" s="344"/>
      <c r="AA28" s="344" t="s">
        <v>504</v>
      </c>
      <c r="AB28" s="365" t="s">
        <v>541</v>
      </c>
    </row>
    <row r="29" spans="1:28" s="347" customFormat="1" ht="27.75" customHeight="1">
      <c r="A29" s="943"/>
      <c r="B29" s="344" t="s">
        <v>542</v>
      </c>
      <c r="C29" s="344" t="s">
        <v>428</v>
      </c>
      <c r="D29" s="344">
        <v>5</v>
      </c>
      <c r="E29" s="344">
        <v>4</v>
      </c>
      <c r="F29" s="344">
        <v>4</v>
      </c>
      <c r="G29" s="344" t="s">
        <v>58</v>
      </c>
      <c r="H29" s="349">
        <v>40</v>
      </c>
      <c r="I29" s="344">
        <v>4</v>
      </c>
      <c r="J29" s="344">
        <f>I29</f>
        <v>4</v>
      </c>
      <c r="K29" s="344" t="s">
        <v>429</v>
      </c>
      <c r="L29" s="344" t="str">
        <f t="shared" si="2"/>
        <v>A</v>
      </c>
      <c r="M29" s="344">
        <f>D29*E29</f>
        <v>20</v>
      </c>
      <c r="N29" s="345"/>
      <c r="O29" s="345" t="s">
        <v>504</v>
      </c>
      <c r="P29" s="345" t="s">
        <v>504</v>
      </c>
      <c r="Q29" s="345">
        <f>1.8*6</f>
        <v>10.8</v>
      </c>
      <c r="R29" s="247">
        <f>1.5*6</f>
        <v>9</v>
      </c>
      <c r="S29" s="247">
        <f t="shared" si="3"/>
        <v>10.8</v>
      </c>
      <c r="T29" s="247">
        <f t="shared" si="4"/>
        <v>22.68</v>
      </c>
      <c r="U29" s="247">
        <f t="shared" si="5"/>
        <v>10.08</v>
      </c>
      <c r="V29" s="247">
        <f>2.5*2*0.5</f>
        <v>2.5</v>
      </c>
      <c r="W29" s="344" t="s">
        <v>504</v>
      </c>
      <c r="X29" s="344"/>
      <c r="Y29" s="344"/>
      <c r="Z29" s="344"/>
      <c r="AA29" s="344" t="s">
        <v>504</v>
      </c>
      <c r="AB29" s="365" t="s">
        <v>541</v>
      </c>
    </row>
    <row r="30" spans="1:28" s="347" customFormat="1" ht="27.75" customHeight="1">
      <c r="A30" s="943"/>
      <c r="B30" s="344" t="s">
        <v>543</v>
      </c>
      <c r="C30" s="344" t="s">
        <v>428</v>
      </c>
      <c r="D30" s="344">
        <v>6.2</v>
      </c>
      <c r="E30" s="344">
        <v>4</v>
      </c>
      <c r="F30" s="541">
        <v>5.5</v>
      </c>
      <c r="G30" s="344" t="s">
        <v>52</v>
      </c>
      <c r="H30" s="349" t="s">
        <v>504</v>
      </c>
      <c r="I30" s="344" t="s">
        <v>504</v>
      </c>
      <c r="J30" s="344" t="s">
        <v>504</v>
      </c>
      <c r="K30" s="344" t="s">
        <v>504</v>
      </c>
      <c r="L30" s="344" t="s">
        <v>504</v>
      </c>
      <c r="M30" s="344" t="s">
        <v>504</v>
      </c>
      <c r="N30" s="345"/>
      <c r="O30" s="345" t="s">
        <v>504</v>
      </c>
      <c r="P30" s="345" t="s">
        <v>504</v>
      </c>
      <c r="Q30" s="345" t="s">
        <v>504</v>
      </c>
      <c r="R30" s="247">
        <v>13.6</v>
      </c>
      <c r="S30" s="247" t="s">
        <v>504</v>
      </c>
      <c r="T30" s="247">
        <f>R30*1.32</f>
        <v>17.95</v>
      </c>
      <c r="U30" s="247">
        <f t="shared" si="5"/>
        <v>15.23</v>
      </c>
      <c r="V30" s="247">
        <f>2.5*2*0.5</f>
        <v>2.5</v>
      </c>
      <c r="W30" s="344" t="s">
        <v>504</v>
      </c>
      <c r="X30" s="344"/>
      <c r="Y30" s="344"/>
      <c r="Z30" s="344"/>
      <c r="AA30" s="344"/>
      <c r="AB30" s="365" t="s">
        <v>544</v>
      </c>
    </row>
    <row r="31" spans="1:28" s="347" customFormat="1" ht="54" customHeight="1">
      <c r="A31" s="961" t="s">
        <v>504</v>
      </c>
      <c r="B31" s="913" t="s">
        <v>546</v>
      </c>
      <c r="C31" s="913"/>
      <c r="D31" s="458" t="s">
        <v>34</v>
      </c>
      <c r="E31" s="538" t="s">
        <v>34</v>
      </c>
      <c r="F31" s="458" t="s">
        <v>34</v>
      </c>
      <c r="G31" s="458" t="s">
        <v>34</v>
      </c>
      <c r="H31" s="252" t="s">
        <v>34</v>
      </c>
      <c r="I31" s="458">
        <f>SUM(I22:I30)</f>
        <v>50.5</v>
      </c>
      <c r="J31" s="458">
        <f>SUM(J22:J30)</f>
        <v>50.5</v>
      </c>
      <c r="K31" s="252" t="s">
        <v>34</v>
      </c>
      <c r="L31" s="252" t="s">
        <v>58</v>
      </c>
      <c r="M31" s="458">
        <f>M23+M26+M29</f>
        <v>56</v>
      </c>
      <c r="N31" s="345"/>
      <c r="O31" s="458">
        <f aca="true" t="shared" si="6" ref="O31:AA31">SUM(O22:O30)</f>
        <v>0.45</v>
      </c>
      <c r="P31" s="458">
        <f t="shared" si="6"/>
        <v>0</v>
      </c>
      <c r="Q31" s="458">
        <f t="shared" si="6"/>
        <v>72</v>
      </c>
      <c r="R31" s="458">
        <f t="shared" si="6"/>
        <v>76.35</v>
      </c>
      <c r="S31" s="458">
        <f t="shared" si="6"/>
        <v>72</v>
      </c>
      <c r="T31" s="458">
        <f t="shared" si="6"/>
        <v>172.78</v>
      </c>
      <c r="U31" s="458">
        <f t="shared" si="6"/>
        <v>85.51</v>
      </c>
      <c r="V31" s="458">
        <f t="shared" si="6"/>
        <v>19.5</v>
      </c>
      <c r="W31" s="458">
        <f t="shared" si="6"/>
        <v>14.6</v>
      </c>
      <c r="X31" s="458">
        <f t="shared" si="6"/>
        <v>0</v>
      </c>
      <c r="Y31" s="458">
        <f t="shared" si="6"/>
        <v>0</v>
      </c>
      <c r="Z31" s="458">
        <f t="shared" si="6"/>
        <v>0</v>
      </c>
      <c r="AA31" s="458">
        <f t="shared" si="6"/>
        <v>10</v>
      </c>
      <c r="AB31" s="361" t="s">
        <v>34</v>
      </c>
    </row>
    <row r="32" spans="1:28" s="347" customFormat="1" ht="18.75" customHeight="1">
      <c r="A32" s="961"/>
      <c r="B32" s="949"/>
      <c r="C32" s="950"/>
      <c r="D32" s="950"/>
      <c r="E32" s="950"/>
      <c r="F32" s="950"/>
      <c r="G32" s="950"/>
      <c r="H32" s="950"/>
      <c r="I32" s="950"/>
      <c r="J32" s="950"/>
      <c r="K32" s="963"/>
      <c r="L32" s="544" t="s">
        <v>52</v>
      </c>
      <c r="M32" s="547">
        <f>M24+M25</f>
        <v>36</v>
      </c>
      <c r="N32" s="345"/>
      <c r="O32" s="967"/>
      <c r="P32" s="968"/>
      <c r="Q32" s="968"/>
      <c r="R32" s="968"/>
      <c r="S32" s="968"/>
      <c r="T32" s="968"/>
      <c r="U32" s="968"/>
      <c r="V32" s="968"/>
      <c r="W32" s="968"/>
      <c r="X32" s="968"/>
      <c r="Y32" s="968"/>
      <c r="Z32" s="968"/>
      <c r="AA32" s="968"/>
      <c r="AB32" s="969"/>
    </row>
    <row r="33" spans="1:28" s="347" customFormat="1" ht="16.5" customHeight="1">
      <c r="A33" s="961"/>
      <c r="B33" s="952"/>
      <c r="C33" s="953"/>
      <c r="D33" s="953"/>
      <c r="E33" s="953"/>
      <c r="F33" s="953"/>
      <c r="G33" s="953"/>
      <c r="H33" s="953"/>
      <c r="I33" s="953"/>
      <c r="J33" s="953"/>
      <c r="K33" s="954"/>
      <c r="L33" s="252" t="s">
        <v>53</v>
      </c>
      <c r="M33" s="458">
        <f>M27</f>
        <v>18</v>
      </c>
      <c r="N33" s="345"/>
      <c r="O33" s="970"/>
      <c r="P33" s="971"/>
      <c r="Q33" s="971"/>
      <c r="R33" s="971"/>
      <c r="S33" s="971"/>
      <c r="T33" s="971"/>
      <c r="U33" s="971"/>
      <c r="V33" s="971"/>
      <c r="W33" s="971"/>
      <c r="X33" s="971"/>
      <c r="Y33" s="971"/>
      <c r="Z33" s="971"/>
      <c r="AA33" s="971"/>
      <c r="AB33" s="972"/>
    </row>
    <row r="34" spans="1:28" s="347" customFormat="1" ht="15" customHeight="1">
      <c r="A34" s="961"/>
      <c r="B34" s="952"/>
      <c r="C34" s="953"/>
      <c r="D34" s="953"/>
      <c r="E34" s="953"/>
      <c r="F34" s="953"/>
      <c r="G34" s="953"/>
      <c r="H34" s="953"/>
      <c r="I34" s="953"/>
      <c r="J34" s="953"/>
      <c r="K34" s="954"/>
      <c r="L34" s="252" t="s">
        <v>65</v>
      </c>
      <c r="M34" s="458">
        <f>M22</f>
        <v>40</v>
      </c>
      <c r="N34" s="345"/>
      <c r="O34" s="970"/>
      <c r="P34" s="971"/>
      <c r="Q34" s="971"/>
      <c r="R34" s="971"/>
      <c r="S34" s="971"/>
      <c r="T34" s="971"/>
      <c r="U34" s="971"/>
      <c r="V34" s="971"/>
      <c r="W34" s="971"/>
      <c r="X34" s="971"/>
      <c r="Y34" s="971"/>
      <c r="Z34" s="971"/>
      <c r="AA34" s="971"/>
      <c r="AB34" s="972"/>
    </row>
    <row r="35" spans="1:28" ht="18.75" customHeight="1" thickBot="1">
      <c r="A35" s="962"/>
      <c r="B35" s="964"/>
      <c r="C35" s="965"/>
      <c r="D35" s="965"/>
      <c r="E35" s="965"/>
      <c r="F35" s="965"/>
      <c r="G35" s="965"/>
      <c r="H35" s="965"/>
      <c r="I35" s="965"/>
      <c r="J35" s="965"/>
      <c r="K35" s="966"/>
      <c r="L35" s="366" t="s">
        <v>67</v>
      </c>
      <c r="M35" s="367">
        <f>M28</f>
        <v>38.25</v>
      </c>
      <c r="N35" s="368"/>
      <c r="O35" s="973"/>
      <c r="P35" s="974"/>
      <c r="Q35" s="974"/>
      <c r="R35" s="974"/>
      <c r="S35" s="974"/>
      <c r="T35" s="974"/>
      <c r="U35" s="974"/>
      <c r="V35" s="974"/>
      <c r="W35" s="974"/>
      <c r="X35" s="974"/>
      <c r="Y35" s="974"/>
      <c r="Z35" s="974"/>
      <c r="AA35" s="974"/>
      <c r="AB35" s="975"/>
    </row>
    <row r="36" spans="1:6" ht="12.75">
      <c r="A36" s="347"/>
      <c r="B36" s="347"/>
      <c r="C36" s="347"/>
      <c r="D36" s="347"/>
      <c r="E36" s="347"/>
      <c r="F36" s="347"/>
    </row>
    <row r="37" spans="1:17" ht="12.75">
      <c r="A37" s="347"/>
      <c r="B37" s="347"/>
      <c r="C37" s="347"/>
      <c r="D37" s="347"/>
      <c r="E37" s="347"/>
      <c r="F37" s="347"/>
      <c r="Q37" s="246">
        <f>Q31+Q14</f>
        <v>169</v>
      </c>
    </row>
    <row r="38" spans="1:6" ht="12.75">
      <c r="A38" s="347"/>
      <c r="B38" s="347"/>
      <c r="C38" s="347"/>
      <c r="D38" s="347"/>
      <c r="E38" s="347"/>
      <c r="F38" s="347"/>
    </row>
    <row r="39" ht="12.75">
      <c r="F39" s="539"/>
    </row>
    <row r="40" ht="12.75">
      <c r="E40" s="539"/>
    </row>
    <row r="41" spans="2:26" ht="15">
      <c r="B41" s="520" t="s">
        <v>430</v>
      </c>
      <c r="C41" s="520"/>
      <c r="D41" s="520"/>
      <c r="E41" s="555"/>
      <c r="F41" s="520"/>
      <c r="G41" s="520"/>
      <c r="H41" s="520"/>
      <c r="I41" s="520"/>
      <c r="J41" s="520"/>
      <c r="K41" s="520"/>
      <c r="L41" s="520"/>
      <c r="M41" s="520"/>
      <c r="N41" s="520"/>
      <c r="O41" s="520"/>
      <c r="P41" s="520"/>
      <c r="Q41" s="520"/>
      <c r="R41" s="520"/>
      <c r="S41" s="520"/>
      <c r="T41" s="520"/>
      <c r="U41" s="520"/>
      <c r="V41" s="520"/>
      <c r="W41" s="520"/>
      <c r="X41" s="520"/>
      <c r="Y41" s="520"/>
      <c r="Z41" s="520"/>
    </row>
    <row r="43" spans="2:6" ht="27" customHeight="1">
      <c r="B43" s="258" t="s">
        <v>87</v>
      </c>
      <c r="C43" s="258" t="s">
        <v>431</v>
      </c>
      <c r="D43" s="258" t="s">
        <v>432</v>
      </c>
      <c r="E43" s="259" t="s">
        <v>433</v>
      </c>
      <c r="F43" s="259" t="s">
        <v>434</v>
      </c>
    </row>
    <row r="44" spans="2:6" ht="52.5">
      <c r="B44" s="248" t="s">
        <v>88</v>
      </c>
      <c r="C44" s="248" t="s">
        <v>717</v>
      </c>
      <c r="D44" s="248" t="s">
        <v>9</v>
      </c>
      <c r="E44" s="372" t="s">
        <v>34</v>
      </c>
      <c r="F44" s="248">
        <v>1</v>
      </c>
    </row>
    <row r="45" spans="2:6" ht="52.5">
      <c r="B45" s="248" t="s">
        <v>89</v>
      </c>
      <c r="C45" s="248" t="s">
        <v>716</v>
      </c>
      <c r="D45" s="249" t="s">
        <v>9</v>
      </c>
      <c r="E45" s="248" t="s">
        <v>34</v>
      </c>
      <c r="F45" s="554">
        <v>2</v>
      </c>
    </row>
    <row r="46" spans="2:6" ht="78.75">
      <c r="B46" s="248" t="s">
        <v>90</v>
      </c>
      <c r="C46" s="248" t="s">
        <v>718</v>
      </c>
      <c r="D46" s="249" t="s">
        <v>9</v>
      </c>
      <c r="E46" s="554" t="s">
        <v>34</v>
      </c>
      <c r="F46" s="249">
        <v>2</v>
      </c>
    </row>
    <row r="47" spans="2:6" ht="12.75">
      <c r="B47" s="254"/>
      <c r="C47" s="254"/>
      <c r="D47" s="254"/>
      <c r="E47" s="254"/>
      <c r="F47" s="254"/>
    </row>
    <row r="48" spans="2:6" ht="12.75">
      <c r="B48" s="254"/>
      <c r="C48" s="254"/>
      <c r="D48" s="254"/>
      <c r="E48" s="254"/>
      <c r="F48" s="254"/>
    </row>
    <row r="49" spans="2:6" ht="12.75">
      <c r="B49" s="254"/>
      <c r="C49" s="254"/>
      <c r="D49" s="254"/>
      <c r="E49" s="254"/>
      <c r="F49" s="254"/>
    </row>
    <row r="50" spans="2:6" ht="12.75">
      <c r="B50" s="254"/>
      <c r="C50" s="254"/>
      <c r="D50" s="254"/>
      <c r="E50" s="254"/>
      <c r="F50" s="254"/>
    </row>
    <row r="52" spans="2:26" ht="15">
      <c r="B52" s="253"/>
      <c r="C52" s="253"/>
      <c r="D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</row>
    <row r="53" ht="15">
      <c r="E53" s="253"/>
    </row>
    <row r="54" spans="2:6" ht="12.75" hidden="1">
      <c r="B54" s="258"/>
      <c r="C54" s="258"/>
      <c r="D54" s="258"/>
      <c r="E54" s="258"/>
      <c r="F54" s="259"/>
    </row>
    <row r="55" spans="2:6" ht="12.75" hidden="1">
      <c r="B55" s="931"/>
      <c r="C55" s="934"/>
      <c r="D55" s="935"/>
      <c r="E55" s="938"/>
      <c r="F55" s="939"/>
    </row>
    <row r="56" spans="2:6" ht="12.75" hidden="1">
      <c r="B56" s="932"/>
      <c r="C56" s="932"/>
      <c r="D56" s="936"/>
      <c r="E56" s="938"/>
      <c r="F56" s="940"/>
    </row>
    <row r="57" spans="2:6" ht="117.75" customHeight="1" hidden="1">
      <c r="B57" s="933"/>
      <c r="C57" s="933"/>
      <c r="D57" s="937"/>
      <c r="E57" s="938"/>
      <c r="F57" s="941"/>
    </row>
    <row r="58" ht="12.75">
      <c r="E58" s="255"/>
    </row>
  </sheetData>
  <sheetProtection/>
  <mergeCells count="21">
    <mergeCell ref="A31:A35"/>
    <mergeCell ref="B31:C31"/>
    <mergeCell ref="B32:K35"/>
    <mergeCell ref="O32:AB35"/>
    <mergeCell ref="B55:B57"/>
    <mergeCell ref="C55:C57"/>
    <mergeCell ref="D55:D57"/>
    <mergeCell ref="E55:E57"/>
    <mergeCell ref="F55:F57"/>
    <mergeCell ref="A22:A30"/>
    <mergeCell ref="B2:Z2"/>
    <mergeCell ref="A3:M3"/>
    <mergeCell ref="O3:P3"/>
    <mergeCell ref="Q3:R3"/>
    <mergeCell ref="S3:U3"/>
    <mergeCell ref="L4:M4"/>
    <mergeCell ref="A5:A13"/>
    <mergeCell ref="A14:A19"/>
    <mergeCell ref="B14:C14"/>
    <mergeCell ref="B15:K19"/>
    <mergeCell ref="O15:AB19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62"/>
  <sheetViews>
    <sheetView view="pageBreakPreview" zoomScale="115" zoomScaleSheetLayoutView="115" zoomScalePageLayoutView="0" workbookViewId="0" topLeftCell="A13">
      <selection activeCell="V104" sqref="V104"/>
    </sheetView>
  </sheetViews>
  <sheetFormatPr defaultColWidth="9.00390625" defaultRowHeight="12.75"/>
  <cols>
    <col min="4" max="4" width="9.50390625" style="0" customWidth="1"/>
    <col min="5" max="5" width="13.50390625" style="0" customWidth="1"/>
    <col min="6" max="6" width="12.375" style="0" customWidth="1"/>
    <col min="8" max="9" width="10.125" style="0" customWidth="1"/>
  </cols>
  <sheetData>
    <row r="1" spans="5:6" ht="12.75">
      <c r="E1" s="987" t="s">
        <v>342</v>
      </c>
      <c r="F1" s="987"/>
    </row>
    <row r="2" spans="5:6" ht="9" customHeight="1">
      <c r="E2" s="988"/>
      <c r="F2" s="988"/>
    </row>
    <row r="3" spans="1:9" ht="25.5" customHeight="1">
      <c r="A3" s="989" t="s">
        <v>343</v>
      </c>
      <c r="B3" s="989"/>
      <c r="C3" s="989"/>
      <c r="D3" s="989"/>
      <c r="E3" s="989"/>
      <c r="F3" s="989"/>
      <c r="G3" s="215"/>
      <c r="H3" s="215"/>
      <c r="I3" s="215"/>
    </row>
    <row r="4" spans="1:9" ht="24" customHeight="1">
      <c r="A4" s="990" t="s">
        <v>447</v>
      </c>
      <c r="B4" s="990"/>
      <c r="C4" s="990"/>
      <c r="D4" s="990"/>
      <c r="E4" s="990"/>
      <c r="F4" s="990"/>
      <c r="G4" s="216"/>
      <c r="H4" s="216"/>
      <c r="I4" s="216"/>
    </row>
    <row r="5" spans="1:9" ht="61.5" customHeight="1">
      <c r="A5" s="990"/>
      <c r="B5" s="990"/>
      <c r="C5" s="990"/>
      <c r="D5" s="990"/>
      <c r="E5" s="990"/>
      <c r="F5" s="990"/>
      <c r="G5" s="216"/>
      <c r="H5" s="216"/>
      <c r="I5" s="216"/>
    </row>
    <row r="6" spans="1:9" ht="18" customHeight="1">
      <c r="A6" s="991" t="s">
        <v>344</v>
      </c>
      <c r="B6" s="992"/>
      <c r="C6" s="992"/>
      <c r="D6" s="992"/>
      <c r="E6" s="992"/>
      <c r="F6" s="993"/>
      <c r="G6" s="216"/>
      <c r="H6" s="216"/>
      <c r="I6" s="216"/>
    </row>
    <row r="7" spans="1:6" ht="12.75" customHeight="1">
      <c r="A7" s="994" t="s">
        <v>345</v>
      </c>
      <c r="B7" s="994" t="s">
        <v>346</v>
      </c>
      <c r="C7" s="994" t="s">
        <v>347</v>
      </c>
      <c r="D7" s="996" t="s">
        <v>348</v>
      </c>
      <c r="E7" s="996"/>
      <c r="F7" s="996"/>
    </row>
    <row r="8" spans="1:6" ht="12.75" customHeight="1">
      <c r="A8" s="995"/>
      <c r="B8" s="995"/>
      <c r="C8" s="994"/>
      <c r="D8" s="994" t="s">
        <v>349</v>
      </c>
      <c r="E8" s="994" t="s">
        <v>350</v>
      </c>
      <c r="F8" s="994" t="s">
        <v>351</v>
      </c>
    </row>
    <row r="9" spans="1:6" ht="6" customHeight="1">
      <c r="A9" s="995"/>
      <c r="B9" s="995"/>
      <c r="C9" s="994"/>
      <c r="D9" s="994"/>
      <c r="E9" s="994"/>
      <c r="F9" s="994"/>
    </row>
    <row r="10" spans="1:6" ht="4.5" customHeight="1">
      <c r="A10" s="995"/>
      <c r="B10" s="995"/>
      <c r="C10" s="994"/>
      <c r="D10" s="994"/>
      <c r="E10" s="994"/>
      <c r="F10" s="994"/>
    </row>
    <row r="11" spans="1:8" ht="12.75">
      <c r="A11" s="982">
        <v>13</v>
      </c>
      <c r="B11" s="979">
        <v>780</v>
      </c>
      <c r="C11" s="218" t="s">
        <v>34</v>
      </c>
      <c r="D11" s="978">
        <v>2</v>
      </c>
      <c r="E11" s="219" t="s">
        <v>34</v>
      </c>
      <c r="F11" s="219" t="s">
        <v>34</v>
      </c>
      <c r="H11" s="976"/>
    </row>
    <row r="12" spans="1:8" ht="12.75">
      <c r="A12" s="982"/>
      <c r="B12" s="979"/>
      <c r="C12" s="980">
        <f>B13-B11</f>
        <v>2.4</v>
      </c>
      <c r="D12" s="978"/>
      <c r="E12" s="978">
        <f>SUM(0.5*D11,0.5*D13)</f>
        <v>1</v>
      </c>
      <c r="F12" s="978">
        <f>PRODUCT(C12,E12)</f>
        <v>2.4</v>
      </c>
      <c r="H12" s="976"/>
    </row>
    <row r="13" spans="1:8" ht="12.75">
      <c r="A13" s="982"/>
      <c r="B13" s="979">
        <v>782.4</v>
      </c>
      <c r="C13" s="980"/>
      <c r="D13" s="978">
        <v>0</v>
      </c>
      <c r="E13" s="978"/>
      <c r="F13" s="978"/>
      <c r="H13" s="976"/>
    </row>
    <row r="14" spans="1:8" ht="12.75">
      <c r="A14" s="982"/>
      <c r="B14" s="979"/>
      <c r="C14" s="980">
        <f>B15-B13</f>
        <v>28.9</v>
      </c>
      <c r="D14" s="978"/>
      <c r="E14" s="978">
        <f>SUM(0.5*D13,0.5*D15)</f>
        <v>1.33</v>
      </c>
      <c r="F14" s="978">
        <f>PRODUCT(C14,E14)</f>
        <v>38.44</v>
      </c>
      <c r="H14" s="976"/>
    </row>
    <row r="15" spans="1:8" ht="12.75">
      <c r="A15" s="982"/>
      <c r="B15" s="979">
        <v>811.3</v>
      </c>
      <c r="C15" s="980"/>
      <c r="D15" s="978">
        <v>2.65</v>
      </c>
      <c r="E15" s="978"/>
      <c r="F15" s="978"/>
      <c r="H15" s="976"/>
    </row>
    <row r="16" spans="1:8" ht="12.75">
      <c r="A16" s="982"/>
      <c r="B16" s="979"/>
      <c r="C16" s="980">
        <f>B17-B15</f>
        <v>18.7</v>
      </c>
      <c r="D16" s="978"/>
      <c r="E16" s="978">
        <f>SUM(0.5*D15,0.5*D17)</f>
        <v>2.7</v>
      </c>
      <c r="F16" s="978">
        <f>PRODUCT(C16,E16)</f>
        <v>50.49</v>
      </c>
      <c r="H16" s="976"/>
    </row>
    <row r="17" spans="1:8" ht="12.75">
      <c r="A17" s="982"/>
      <c r="B17" s="979">
        <v>830</v>
      </c>
      <c r="C17" s="980"/>
      <c r="D17" s="978">
        <v>2.75</v>
      </c>
      <c r="E17" s="978"/>
      <c r="F17" s="978"/>
      <c r="H17" s="976"/>
    </row>
    <row r="18" spans="1:8" ht="12.75">
      <c r="A18" s="982"/>
      <c r="B18" s="979"/>
      <c r="C18" s="980">
        <f>B19-B17</f>
        <v>31.6</v>
      </c>
      <c r="D18" s="978"/>
      <c r="E18" s="978">
        <f>SUM(0.5*D17,0.5*D19)</f>
        <v>2.93</v>
      </c>
      <c r="F18" s="978">
        <f>PRODUCT(C18,E18)</f>
        <v>92.59</v>
      </c>
      <c r="H18" s="976"/>
    </row>
    <row r="19" spans="1:8" ht="12.75">
      <c r="A19" s="982"/>
      <c r="B19" s="979">
        <v>861.6</v>
      </c>
      <c r="C19" s="980"/>
      <c r="D19" s="978">
        <v>3.1</v>
      </c>
      <c r="E19" s="978"/>
      <c r="F19" s="978"/>
      <c r="H19" s="976"/>
    </row>
    <row r="20" spans="1:8" ht="12.75">
      <c r="A20" s="982"/>
      <c r="B20" s="979"/>
      <c r="C20" s="980">
        <f>B21-B19</f>
        <v>18.4</v>
      </c>
      <c r="D20" s="978"/>
      <c r="E20" s="978">
        <f>SUM(0.5*D19,0.5*D21)</f>
        <v>3</v>
      </c>
      <c r="F20" s="978">
        <f>PRODUCT(C20,E20)</f>
        <v>55.2</v>
      </c>
      <c r="H20" s="976"/>
    </row>
    <row r="21" spans="1:8" ht="12.75">
      <c r="A21" s="982"/>
      <c r="B21" s="979">
        <v>880</v>
      </c>
      <c r="C21" s="980"/>
      <c r="D21" s="978">
        <v>2.9</v>
      </c>
      <c r="E21" s="978"/>
      <c r="F21" s="978"/>
      <c r="H21" s="976"/>
    </row>
    <row r="22" spans="1:8" ht="12.75">
      <c r="A22" s="982"/>
      <c r="B22" s="979"/>
      <c r="C22" s="980">
        <f>B23-B21</f>
        <v>23.7</v>
      </c>
      <c r="D22" s="978"/>
      <c r="E22" s="978">
        <f>SUM(0.5*D21,0.5*D23)</f>
        <v>1.45</v>
      </c>
      <c r="F22" s="978">
        <f>PRODUCT(C22,E22)</f>
        <v>34.37</v>
      </c>
      <c r="H22" s="976"/>
    </row>
    <row r="23" spans="1:8" ht="12.75">
      <c r="A23" s="982"/>
      <c r="B23" s="979">
        <v>903.7</v>
      </c>
      <c r="C23" s="980"/>
      <c r="D23" s="978">
        <v>0</v>
      </c>
      <c r="E23" s="978"/>
      <c r="F23" s="978"/>
      <c r="H23" s="976"/>
    </row>
    <row r="24" spans="1:8" ht="12.75">
      <c r="A24" s="982"/>
      <c r="B24" s="979"/>
      <c r="C24" s="980">
        <f>B25-B23</f>
        <v>34.3</v>
      </c>
      <c r="D24" s="978"/>
      <c r="E24" s="978">
        <f>SUM(0.5*D23,0.5*D25)</f>
        <v>1.63</v>
      </c>
      <c r="F24" s="978">
        <f>PRODUCT(C24,E24)</f>
        <v>55.91</v>
      </c>
      <c r="H24" s="976"/>
    </row>
    <row r="25" spans="1:8" ht="12.75">
      <c r="A25" s="982"/>
      <c r="B25" s="979">
        <v>938</v>
      </c>
      <c r="C25" s="980"/>
      <c r="D25" s="978">
        <v>3.25</v>
      </c>
      <c r="E25" s="978"/>
      <c r="F25" s="978"/>
      <c r="H25" s="976"/>
    </row>
    <row r="26" spans="1:8" ht="13.5" customHeight="1">
      <c r="A26" s="982"/>
      <c r="B26" s="979"/>
      <c r="C26" s="218" t="s">
        <v>34</v>
      </c>
      <c r="D26" s="981"/>
      <c r="E26" s="282" t="s">
        <v>34</v>
      </c>
      <c r="F26" s="282" t="s">
        <v>34</v>
      </c>
      <c r="H26" s="976"/>
    </row>
    <row r="27" spans="1:8" ht="13.5" customHeight="1">
      <c r="A27" s="287"/>
      <c r="B27" s="288"/>
      <c r="C27" s="289"/>
      <c r="D27" s="983" t="s">
        <v>353</v>
      </c>
      <c r="E27" s="983"/>
      <c r="F27" s="984">
        <f>F12+F14+F16+F18+F20+F22+F24</f>
        <v>329.4</v>
      </c>
      <c r="H27" s="231"/>
    </row>
    <row r="28" spans="1:8" ht="13.5" customHeight="1">
      <c r="A28" s="290"/>
      <c r="B28" s="291"/>
      <c r="C28" s="292"/>
      <c r="D28" s="983"/>
      <c r="E28" s="983"/>
      <c r="F28" s="984"/>
      <c r="H28" s="231"/>
    </row>
    <row r="29" spans="1:8" ht="13.5" customHeight="1">
      <c r="A29" s="290"/>
      <c r="B29" s="291"/>
      <c r="C29" s="292"/>
      <c r="D29" s="983" t="s">
        <v>354</v>
      </c>
      <c r="E29" s="983"/>
      <c r="F29" s="984">
        <f>-(I48+I49+I50)</f>
        <v>-56.03</v>
      </c>
      <c r="H29" s="231"/>
    </row>
    <row r="30" spans="1:8" ht="13.5" customHeight="1">
      <c r="A30" s="290"/>
      <c r="B30" s="291"/>
      <c r="C30" s="292"/>
      <c r="D30" s="983"/>
      <c r="E30" s="983"/>
      <c r="F30" s="984"/>
      <c r="H30" s="231"/>
    </row>
    <row r="31" spans="1:6" ht="13.5" customHeight="1">
      <c r="A31" s="290"/>
      <c r="B31" s="291"/>
      <c r="C31" s="292"/>
      <c r="D31" s="983" t="s">
        <v>481</v>
      </c>
      <c r="E31" s="983"/>
      <c r="F31" s="984">
        <f>F27+F29</f>
        <v>273.37</v>
      </c>
    </row>
    <row r="32" spans="1:6" ht="13.5" customHeight="1">
      <c r="A32" s="290"/>
      <c r="B32" s="291"/>
      <c r="C32" s="292"/>
      <c r="D32" s="983"/>
      <c r="E32" s="983"/>
      <c r="F32" s="984"/>
    </row>
    <row r="33" spans="1:6" ht="13.5" customHeight="1">
      <c r="A33" s="290"/>
      <c r="B33" s="291"/>
      <c r="C33" s="292"/>
      <c r="D33" s="294"/>
      <c r="E33" s="294"/>
      <c r="F33" s="295"/>
    </row>
    <row r="34" spans="1:6" ht="13.5" customHeight="1">
      <c r="A34" s="1000" t="s">
        <v>352</v>
      </c>
      <c r="B34" s="1001"/>
      <c r="C34" s="1001"/>
      <c r="D34" s="1001"/>
      <c r="E34" s="1001"/>
      <c r="F34" s="1002"/>
    </row>
    <row r="35" spans="1:6" ht="13.5" customHeight="1">
      <c r="A35" s="994" t="s">
        <v>345</v>
      </c>
      <c r="B35" s="994" t="s">
        <v>346</v>
      </c>
      <c r="C35" s="994" t="s">
        <v>347</v>
      </c>
      <c r="D35" s="996" t="s">
        <v>348</v>
      </c>
      <c r="E35" s="996"/>
      <c r="F35" s="996"/>
    </row>
    <row r="36" spans="1:6" ht="11.25" customHeight="1">
      <c r="A36" s="995"/>
      <c r="B36" s="995"/>
      <c r="C36" s="994"/>
      <c r="D36" s="994" t="s">
        <v>349</v>
      </c>
      <c r="E36" s="994" t="s">
        <v>350</v>
      </c>
      <c r="F36" s="994" t="s">
        <v>351</v>
      </c>
    </row>
    <row r="37" spans="1:6" ht="6.75" customHeight="1">
      <c r="A37" s="995"/>
      <c r="B37" s="995"/>
      <c r="C37" s="994"/>
      <c r="D37" s="994"/>
      <c r="E37" s="994"/>
      <c r="F37" s="994"/>
    </row>
    <row r="38" spans="1:6" ht="13.5" customHeight="1">
      <c r="A38" s="995"/>
      <c r="B38" s="995"/>
      <c r="C38" s="994"/>
      <c r="D38" s="994"/>
      <c r="E38" s="994"/>
      <c r="F38" s="994"/>
    </row>
    <row r="39" spans="1:6" ht="13.5" customHeight="1">
      <c r="A39" s="982">
        <v>0</v>
      </c>
      <c r="B39" s="1003">
        <v>12</v>
      </c>
      <c r="C39" s="220" t="s">
        <v>34</v>
      </c>
      <c r="D39" s="1004">
        <v>3.25</v>
      </c>
      <c r="E39" s="221" t="s">
        <v>34</v>
      </c>
      <c r="F39" s="221" t="s">
        <v>34</v>
      </c>
    </row>
    <row r="40" spans="1:6" ht="13.5" customHeight="1">
      <c r="A40" s="982"/>
      <c r="B40" s="980"/>
      <c r="C40" s="980">
        <f>B41-B39</f>
        <v>5.7</v>
      </c>
      <c r="D40" s="981"/>
      <c r="E40" s="978">
        <f>SUM(0.5*D39,0.5*D41)</f>
        <v>3.4</v>
      </c>
      <c r="F40" s="978">
        <f>PRODUCT(C40,E40)</f>
        <v>19.38</v>
      </c>
    </row>
    <row r="41" spans="1:6" ht="13.5" customHeight="1">
      <c r="A41" s="982"/>
      <c r="B41" s="980">
        <v>17.7</v>
      </c>
      <c r="C41" s="980"/>
      <c r="D41" s="978">
        <v>3.55</v>
      </c>
      <c r="E41" s="978"/>
      <c r="F41" s="978"/>
    </row>
    <row r="42" spans="1:6" ht="13.5" customHeight="1">
      <c r="A42" s="982"/>
      <c r="B42" s="980"/>
      <c r="C42" s="985">
        <f>B43-B41</f>
        <v>17.3</v>
      </c>
      <c r="D42" s="981"/>
      <c r="E42" s="978">
        <f>SUM(0.5*D41,0.5*D43)</f>
        <v>3.53</v>
      </c>
      <c r="F42" s="978">
        <f>PRODUCT(C42,E42)</f>
        <v>61.07</v>
      </c>
    </row>
    <row r="43" spans="1:6" ht="13.5" customHeight="1">
      <c r="A43" s="982"/>
      <c r="B43" s="980">
        <v>35</v>
      </c>
      <c r="C43" s="986"/>
      <c r="D43" s="978">
        <v>3.5</v>
      </c>
      <c r="E43" s="978"/>
      <c r="F43" s="978"/>
    </row>
    <row r="44" spans="1:6" ht="13.5" customHeight="1">
      <c r="A44" s="982"/>
      <c r="B44" s="980"/>
      <c r="C44" s="985">
        <f>B45-B43</f>
        <v>17</v>
      </c>
      <c r="D44" s="981"/>
      <c r="E44" s="978">
        <f>SUM(0.5*D43,0.5*D45)</f>
        <v>3.49</v>
      </c>
      <c r="F44" s="978">
        <f>PRODUCT(C44,E44)</f>
        <v>59.33</v>
      </c>
    </row>
    <row r="45" spans="1:6" ht="13.5" customHeight="1">
      <c r="A45" s="982"/>
      <c r="B45" s="980">
        <v>52</v>
      </c>
      <c r="C45" s="986"/>
      <c r="D45" s="978">
        <v>3.48</v>
      </c>
      <c r="E45" s="978"/>
      <c r="F45" s="978"/>
    </row>
    <row r="46" spans="1:6" ht="14.25" customHeight="1">
      <c r="A46" s="982"/>
      <c r="B46" s="980"/>
      <c r="C46" s="218" t="s">
        <v>34</v>
      </c>
      <c r="D46" s="981"/>
      <c r="E46" s="282" t="s">
        <v>34</v>
      </c>
      <c r="F46" s="282" t="s">
        <v>34</v>
      </c>
    </row>
    <row r="47" spans="4:6" ht="13.5" customHeight="1">
      <c r="D47" s="983" t="s">
        <v>353</v>
      </c>
      <c r="E47" s="983"/>
      <c r="F47" s="984">
        <f>F40+F42+F44</f>
        <v>139.78</v>
      </c>
    </row>
    <row r="48" spans="4:9" ht="12.75">
      <c r="D48" s="983"/>
      <c r="E48" s="983"/>
      <c r="F48" s="984"/>
      <c r="H48" t="s">
        <v>355</v>
      </c>
      <c r="I48">
        <v>14.012</v>
      </c>
    </row>
    <row r="49" spans="4:9" ht="12.75">
      <c r="D49" s="983" t="s">
        <v>354</v>
      </c>
      <c r="E49" s="983"/>
      <c r="F49" s="984">
        <f>-(I51+I52)</f>
        <v>-42.86</v>
      </c>
      <c r="H49" t="s">
        <v>356</v>
      </c>
      <c r="I49">
        <v>12.76</v>
      </c>
    </row>
    <row r="50" spans="3:9" ht="12.75">
      <c r="C50" s="223"/>
      <c r="D50" s="983"/>
      <c r="E50" s="983"/>
      <c r="F50" s="984"/>
      <c r="H50" t="s">
        <v>357</v>
      </c>
      <c r="I50">
        <v>29.26</v>
      </c>
    </row>
    <row r="51" spans="4:9" ht="12.75">
      <c r="D51" s="983" t="s">
        <v>482</v>
      </c>
      <c r="E51" s="983"/>
      <c r="F51" s="984">
        <f>F47+F49</f>
        <v>96.92</v>
      </c>
      <c r="H51" t="s">
        <v>358</v>
      </c>
      <c r="I51" s="224">
        <v>24.3</v>
      </c>
    </row>
    <row r="52" spans="3:9" ht="12.75">
      <c r="C52" s="214"/>
      <c r="D52" s="983"/>
      <c r="E52" s="983"/>
      <c r="F52" s="984"/>
      <c r="H52" t="s">
        <v>359</v>
      </c>
      <c r="I52">
        <v>18.56</v>
      </c>
    </row>
    <row r="53" ht="22.5" customHeight="1"/>
    <row r="54" spans="1:8" ht="27.75" customHeight="1">
      <c r="A54" s="977" t="s">
        <v>485</v>
      </c>
      <c r="B54" s="977"/>
      <c r="C54" s="977"/>
      <c r="D54" s="977"/>
      <c r="E54" s="225">
        <f>'5. Humusowanie'!E57/0.1</f>
        <v>79.9</v>
      </c>
      <c r="F54" s="226" t="s">
        <v>360</v>
      </c>
      <c r="G54" s="224">
        <f>F51+F31</f>
        <v>370.29</v>
      </c>
      <c r="H54">
        <f>G54*0.15</f>
        <v>55.5435</v>
      </c>
    </row>
    <row r="55" spans="1:7" ht="27.75" customHeight="1">
      <c r="A55" s="977" t="s">
        <v>484</v>
      </c>
      <c r="B55" s="977"/>
      <c r="C55" s="977"/>
      <c r="D55" s="977"/>
      <c r="E55" s="225">
        <f>'5. Humusowanie'!E59/0.1</f>
        <v>23.5</v>
      </c>
      <c r="F55" s="226" t="s">
        <v>360</v>
      </c>
      <c r="G55" s="224"/>
    </row>
    <row r="56" spans="1:8" ht="30" customHeight="1">
      <c r="A56" s="977" t="s">
        <v>487</v>
      </c>
      <c r="B56" s="977"/>
      <c r="C56" s="977"/>
      <c r="D56" s="977"/>
      <c r="E56" s="225">
        <f>F31-'5. Humusowanie'!F31</f>
        <v>193.44</v>
      </c>
      <c r="F56" s="226" t="s">
        <v>360</v>
      </c>
      <c r="H56" s="224">
        <f>F51+F31</f>
        <v>370.29</v>
      </c>
    </row>
    <row r="57" spans="1:6" ht="12.75" customHeight="1">
      <c r="A57" s="977" t="s">
        <v>488</v>
      </c>
      <c r="B57" s="977"/>
      <c r="C57" s="977"/>
      <c r="D57" s="977"/>
      <c r="E57" s="997">
        <f>F51-'5. Humusowanie'!F52</f>
        <v>73.43</v>
      </c>
      <c r="F57" s="999" t="s">
        <v>360</v>
      </c>
    </row>
    <row r="58" spans="1:6" ht="12.75">
      <c r="A58" s="977"/>
      <c r="B58" s="977"/>
      <c r="C58" s="977"/>
      <c r="D58" s="977"/>
      <c r="E58" s="998"/>
      <c r="F58" s="999"/>
    </row>
    <row r="62" ht="12.75">
      <c r="F62" s="224"/>
    </row>
  </sheetData>
  <sheetProtection/>
  <mergeCells count="101">
    <mergeCell ref="A57:D58"/>
    <mergeCell ref="E57:E58"/>
    <mergeCell ref="F57:F58"/>
    <mergeCell ref="D27:E28"/>
    <mergeCell ref="F27:F28"/>
    <mergeCell ref="D29:E30"/>
    <mergeCell ref="F29:F30"/>
    <mergeCell ref="D31:E32"/>
    <mergeCell ref="F31:F32"/>
    <mergeCell ref="A34:F34"/>
    <mergeCell ref="A35:A38"/>
    <mergeCell ref="B35:B38"/>
    <mergeCell ref="C35:C38"/>
    <mergeCell ref="D35:F35"/>
    <mergeCell ref="D36:D38"/>
    <mergeCell ref="E36:E38"/>
    <mergeCell ref="F36:F38"/>
    <mergeCell ref="A39:A46"/>
    <mergeCell ref="B39:B40"/>
    <mergeCell ref="D39:D40"/>
    <mergeCell ref="C40:C41"/>
    <mergeCell ref="E40:E41"/>
    <mergeCell ref="F40:F41"/>
    <mergeCell ref="B41:B42"/>
    <mergeCell ref="E1:F2"/>
    <mergeCell ref="A3:F3"/>
    <mergeCell ref="A4:F5"/>
    <mergeCell ref="A6:F6"/>
    <mergeCell ref="A7:A10"/>
    <mergeCell ref="B7:B10"/>
    <mergeCell ref="C7:C10"/>
    <mergeCell ref="D7:F7"/>
    <mergeCell ref="D8:D10"/>
    <mergeCell ref="E8:E10"/>
    <mergeCell ref="F8:F10"/>
    <mergeCell ref="B11:B12"/>
    <mergeCell ref="D11:D12"/>
    <mergeCell ref="C12:C13"/>
    <mergeCell ref="E12:E13"/>
    <mergeCell ref="F12:F13"/>
    <mergeCell ref="B13:B14"/>
    <mergeCell ref="D13:D14"/>
    <mergeCell ref="C14:C15"/>
    <mergeCell ref="E14:E15"/>
    <mergeCell ref="F14:F15"/>
    <mergeCell ref="B15:B16"/>
    <mergeCell ref="D15:D16"/>
    <mergeCell ref="C16:C17"/>
    <mergeCell ref="E16:E17"/>
    <mergeCell ref="F16:F17"/>
    <mergeCell ref="B17:B18"/>
    <mergeCell ref="D17:D18"/>
    <mergeCell ref="C18:C19"/>
    <mergeCell ref="E18:E19"/>
    <mergeCell ref="F18:F19"/>
    <mergeCell ref="B19:B20"/>
    <mergeCell ref="D19:D20"/>
    <mergeCell ref="C20:C21"/>
    <mergeCell ref="A56:D56"/>
    <mergeCell ref="D47:E48"/>
    <mergeCell ref="F47:F48"/>
    <mergeCell ref="D49:E50"/>
    <mergeCell ref="F49:F50"/>
    <mergeCell ref="D51:E52"/>
    <mergeCell ref="F51:F52"/>
    <mergeCell ref="A55:D55"/>
    <mergeCell ref="D41:D42"/>
    <mergeCell ref="C42:C43"/>
    <mergeCell ref="E42:E43"/>
    <mergeCell ref="F42:F43"/>
    <mergeCell ref="B43:B44"/>
    <mergeCell ref="D43:D44"/>
    <mergeCell ref="C44:C45"/>
    <mergeCell ref="E44:E45"/>
    <mergeCell ref="F44:F45"/>
    <mergeCell ref="B45:B46"/>
    <mergeCell ref="D45:D46"/>
    <mergeCell ref="H23:H24"/>
    <mergeCell ref="H25:H26"/>
    <mergeCell ref="H11:H12"/>
    <mergeCell ref="H13:H14"/>
    <mergeCell ref="H15:H16"/>
    <mergeCell ref="H17:H18"/>
    <mergeCell ref="H19:H20"/>
    <mergeCell ref="H21:H22"/>
    <mergeCell ref="A54:D54"/>
    <mergeCell ref="E20:E21"/>
    <mergeCell ref="F20:F21"/>
    <mergeCell ref="B21:B22"/>
    <mergeCell ref="D21:D22"/>
    <mergeCell ref="C22:C23"/>
    <mergeCell ref="E22:E23"/>
    <mergeCell ref="F22:F23"/>
    <mergeCell ref="B23:B24"/>
    <mergeCell ref="D23:D24"/>
    <mergeCell ref="C24:C25"/>
    <mergeCell ref="E24:E25"/>
    <mergeCell ref="F24:F25"/>
    <mergeCell ref="B25:B26"/>
    <mergeCell ref="D25:D26"/>
    <mergeCell ref="A11:A26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62"/>
  <sheetViews>
    <sheetView view="pageBreakPreview" zoomScale="115" zoomScaleSheetLayoutView="115" zoomScalePageLayoutView="0" workbookViewId="0" topLeftCell="A30">
      <selection activeCell="V104" sqref="V104"/>
    </sheetView>
  </sheetViews>
  <sheetFormatPr defaultColWidth="9.00390625" defaultRowHeight="12.75"/>
  <cols>
    <col min="3" max="3" width="10.50390625" style="0" customWidth="1"/>
    <col min="4" max="4" width="10.125" style="0" customWidth="1"/>
    <col min="5" max="5" width="13.50390625" style="0" customWidth="1"/>
    <col min="6" max="6" width="12.375" style="0" customWidth="1"/>
    <col min="8" max="9" width="10.125" style="0" customWidth="1"/>
  </cols>
  <sheetData>
    <row r="1" spans="5:6" ht="12.75">
      <c r="E1" s="987" t="s">
        <v>361</v>
      </c>
      <c r="F1" s="987"/>
    </row>
    <row r="2" spans="5:6" ht="9.75" customHeight="1">
      <c r="E2" s="988"/>
      <c r="F2" s="988"/>
    </row>
    <row r="3" spans="1:9" ht="25.5" customHeight="1">
      <c r="A3" s="989" t="s">
        <v>362</v>
      </c>
      <c r="B3" s="989"/>
      <c r="C3" s="989"/>
      <c r="D3" s="989"/>
      <c r="E3" s="989"/>
      <c r="F3" s="989"/>
      <c r="G3" s="215"/>
      <c r="H3" s="215"/>
      <c r="I3" s="215"/>
    </row>
    <row r="4" spans="1:9" ht="24" customHeight="1">
      <c r="A4" s="990" t="s">
        <v>447</v>
      </c>
      <c r="B4" s="990"/>
      <c r="C4" s="990"/>
      <c r="D4" s="990"/>
      <c r="E4" s="990"/>
      <c r="F4" s="990"/>
      <c r="G4" s="216"/>
      <c r="H4" s="216"/>
      <c r="I4" s="216"/>
    </row>
    <row r="5" spans="1:9" ht="48.75" customHeight="1">
      <c r="A5" s="990"/>
      <c r="B5" s="990"/>
      <c r="C5" s="990"/>
      <c r="D5" s="990"/>
      <c r="E5" s="990"/>
      <c r="F5" s="990"/>
      <c r="G5" s="216"/>
      <c r="H5" s="216"/>
      <c r="I5" s="216"/>
    </row>
    <row r="6" spans="1:9" ht="18" customHeight="1">
      <c r="A6" s="991" t="s">
        <v>344</v>
      </c>
      <c r="B6" s="992"/>
      <c r="C6" s="992"/>
      <c r="D6" s="992"/>
      <c r="E6" s="992"/>
      <c r="F6" s="993"/>
      <c r="G6" s="216"/>
      <c r="H6" s="216"/>
      <c r="I6" s="216"/>
    </row>
    <row r="7" spans="1:6" ht="12.75" customHeight="1">
      <c r="A7" s="994" t="s">
        <v>345</v>
      </c>
      <c r="B7" s="994" t="s">
        <v>346</v>
      </c>
      <c r="C7" s="994" t="s">
        <v>347</v>
      </c>
      <c r="D7" s="996" t="s">
        <v>363</v>
      </c>
      <c r="E7" s="996"/>
      <c r="F7" s="996"/>
    </row>
    <row r="8" spans="1:6" ht="12.75" customHeight="1">
      <c r="A8" s="995"/>
      <c r="B8" s="995"/>
      <c r="C8" s="994"/>
      <c r="D8" s="994" t="s">
        <v>349</v>
      </c>
      <c r="E8" s="994" t="s">
        <v>350</v>
      </c>
      <c r="F8" s="994" t="s">
        <v>351</v>
      </c>
    </row>
    <row r="9" spans="1:6" ht="6" customHeight="1">
      <c r="A9" s="995"/>
      <c r="B9" s="995"/>
      <c r="C9" s="994"/>
      <c r="D9" s="994"/>
      <c r="E9" s="994"/>
      <c r="F9" s="994"/>
    </row>
    <row r="10" spans="1:6" ht="4.5" customHeight="1">
      <c r="A10" s="995"/>
      <c r="B10" s="995"/>
      <c r="C10" s="994"/>
      <c r="D10" s="994"/>
      <c r="E10" s="994"/>
      <c r="F10" s="994"/>
    </row>
    <row r="11" spans="1:6" ht="12.75">
      <c r="A11" s="982">
        <v>13</v>
      </c>
      <c r="B11" s="980">
        <v>780</v>
      </c>
      <c r="C11" s="218" t="s">
        <v>34</v>
      </c>
      <c r="D11" s="978">
        <v>0</v>
      </c>
      <c r="E11" s="219" t="s">
        <v>34</v>
      </c>
      <c r="F11" s="219" t="s">
        <v>34</v>
      </c>
    </row>
    <row r="12" spans="1:6" ht="12.75">
      <c r="A12" s="982"/>
      <c r="B12" s="980"/>
      <c r="C12" s="980">
        <f>B13-B11</f>
        <v>2.4</v>
      </c>
      <c r="D12" s="978"/>
      <c r="E12" s="978">
        <f>SUM(0.5*D11,0.5*D13)</f>
        <v>0</v>
      </c>
      <c r="F12" s="978">
        <f>PRODUCT(C12,E12)</f>
        <v>0</v>
      </c>
    </row>
    <row r="13" spans="1:6" ht="12.75">
      <c r="A13" s="982"/>
      <c r="B13" s="980">
        <v>782.4</v>
      </c>
      <c r="C13" s="980"/>
      <c r="D13" s="978">
        <v>0</v>
      </c>
      <c r="E13" s="978"/>
      <c r="F13" s="978"/>
    </row>
    <row r="14" spans="1:6" ht="12.75">
      <c r="A14" s="982"/>
      <c r="B14" s="980"/>
      <c r="C14" s="980">
        <f>B15-B13</f>
        <v>28.9</v>
      </c>
      <c r="D14" s="978"/>
      <c r="E14" s="978">
        <f>SUM(0.5*D13,0.5*D15)</f>
        <v>0.3</v>
      </c>
      <c r="F14" s="978">
        <f>PRODUCT(C14,E14)</f>
        <v>8.67</v>
      </c>
    </row>
    <row r="15" spans="1:6" ht="12.75">
      <c r="A15" s="982"/>
      <c r="B15" s="980">
        <v>811.3</v>
      </c>
      <c r="C15" s="980"/>
      <c r="D15" s="978">
        <v>0.6</v>
      </c>
      <c r="E15" s="978"/>
      <c r="F15" s="978"/>
    </row>
    <row r="16" spans="1:6" ht="12.75">
      <c r="A16" s="982"/>
      <c r="B16" s="980"/>
      <c r="C16" s="980">
        <f>B17-B15</f>
        <v>18.7</v>
      </c>
      <c r="D16" s="978"/>
      <c r="E16" s="978">
        <f>SUM(0.5*D15,0.5*D17)</f>
        <v>0.63</v>
      </c>
      <c r="F16" s="978">
        <f>PRODUCT(C16,E16)</f>
        <v>11.78</v>
      </c>
    </row>
    <row r="17" spans="1:6" ht="12.75">
      <c r="A17" s="982"/>
      <c r="B17" s="980">
        <v>830</v>
      </c>
      <c r="C17" s="980"/>
      <c r="D17" s="978">
        <v>0.65</v>
      </c>
      <c r="E17" s="978"/>
      <c r="F17" s="978"/>
    </row>
    <row r="18" spans="1:6" ht="12.75">
      <c r="A18" s="982"/>
      <c r="B18" s="980"/>
      <c r="C18" s="980">
        <f>B19-B17</f>
        <v>31.6</v>
      </c>
      <c r="D18" s="978"/>
      <c r="E18" s="978">
        <f>SUM(0.5*D17,0.5*D19)</f>
        <v>0.78</v>
      </c>
      <c r="F18" s="978">
        <f>PRODUCT(C18,E18)</f>
        <v>24.65</v>
      </c>
    </row>
    <row r="19" spans="1:6" ht="12.75">
      <c r="A19" s="982"/>
      <c r="B19" s="980">
        <v>861.6</v>
      </c>
      <c r="C19" s="980"/>
      <c r="D19" s="978">
        <v>0.9</v>
      </c>
      <c r="E19" s="978"/>
      <c r="F19" s="978"/>
    </row>
    <row r="20" spans="1:6" ht="12.75">
      <c r="A20" s="982"/>
      <c r="B20" s="980"/>
      <c r="C20" s="980">
        <f>B21-B19</f>
        <v>18.4</v>
      </c>
      <c r="D20" s="978"/>
      <c r="E20" s="978">
        <f>SUM(0.5*D19,0.5*D21)</f>
        <v>0.95</v>
      </c>
      <c r="F20" s="978">
        <f>PRODUCT(C20,E20)</f>
        <v>17.48</v>
      </c>
    </row>
    <row r="21" spans="1:6" ht="12.75">
      <c r="A21" s="982"/>
      <c r="B21" s="980">
        <v>880</v>
      </c>
      <c r="C21" s="980"/>
      <c r="D21" s="978">
        <v>1</v>
      </c>
      <c r="E21" s="978"/>
      <c r="F21" s="978"/>
    </row>
    <row r="22" spans="1:6" ht="12.75">
      <c r="A22" s="982"/>
      <c r="B22" s="980"/>
      <c r="C22" s="980">
        <f>B23-B21</f>
        <v>23.7</v>
      </c>
      <c r="D22" s="978"/>
      <c r="E22" s="978">
        <f>SUM(0.5*D21,0.5*D23)</f>
        <v>0.5</v>
      </c>
      <c r="F22" s="978">
        <f>PRODUCT(C22,E22)</f>
        <v>11.85</v>
      </c>
    </row>
    <row r="23" spans="1:6" ht="12.75">
      <c r="A23" s="982"/>
      <c r="B23" s="980">
        <v>903.7</v>
      </c>
      <c r="C23" s="980"/>
      <c r="D23" s="978">
        <v>0</v>
      </c>
      <c r="E23" s="978"/>
      <c r="F23" s="978"/>
    </row>
    <row r="24" spans="1:6" ht="12.75">
      <c r="A24" s="982"/>
      <c r="B24" s="980"/>
      <c r="C24" s="980">
        <f>B25-B23</f>
        <v>34.3</v>
      </c>
      <c r="D24" s="978"/>
      <c r="E24" s="978">
        <f>SUM(0.5*D23,0.5*D25)</f>
        <v>0.65</v>
      </c>
      <c r="F24" s="978">
        <f>PRODUCT(C24,E24)</f>
        <v>22.3</v>
      </c>
    </row>
    <row r="25" spans="1:6" ht="12.75">
      <c r="A25" s="982"/>
      <c r="B25" s="980">
        <v>938</v>
      </c>
      <c r="C25" s="980"/>
      <c r="D25" s="978">
        <v>1.3</v>
      </c>
      <c r="E25" s="978"/>
      <c r="F25" s="978"/>
    </row>
    <row r="26" spans="1:6" ht="13.5" customHeight="1">
      <c r="A26" s="982"/>
      <c r="B26" s="980"/>
      <c r="C26" s="218" t="s">
        <v>34</v>
      </c>
      <c r="D26" s="981"/>
      <c r="E26" s="282" t="s">
        <v>34</v>
      </c>
      <c r="F26" s="282" t="s">
        <v>34</v>
      </c>
    </row>
    <row r="27" spans="1:6" ht="13.5" customHeight="1">
      <c r="A27" s="290"/>
      <c r="B27" s="292"/>
      <c r="C27" s="292"/>
      <c r="D27" s="983" t="s">
        <v>353</v>
      </c>
      <c r="E27" s="983"/>
      <c r="F27" s="984">
        <f>F12+F14+F16+F18+F20+F22+F24</f>
        <v>96.73</v>
      </c>
    </row>
    <row r="28" spans="1:6" ht="13.5" customHeight="1">
      <c r="A28" s="290"/>
      <c r="B28" s="292"/>
      <c r="C28" s="292"/>
      <c r="D28" s="983"/>
      <c r="E28" s="983"/>
      <c r="F28" s="984"/>
    </row>
    <row r="29" spans="1:6" ht="13.5" customHeight="1">
      <c r="A29" s="290"/>
      <c r="B29" s="292"/>
      <c r="C29" s="292"/>
      <c r="D29" s="983" t="s">
        <v>354</v>
      </c>
      <c r="E29" s="983"/>
      <c r="F29" s="984">
        <f>-(I50+I51+I52)</f>
        <v>-16.8</v>
      </c>
    </row>
    <row r="30" spans="1:6" ht="13.5" customHeight="1">
      <c r="A30" s="290"/>
      <c r="B30" s="292"/>
      <c r="C30" s="292"/>
      <c r="D30" s="983"/>
      <c r="E30" s="983"/>
      <c r="F30" s="984"/>
    </row>
    <row r="31" spans="1:6" ht="13.5" customHeight="1">
      <c r="A31" s="290"/>
      <c r="B31" s="292"/>
      <c r="C31" s="292"/>
      <c r="D31" s="983" t="s">
        <v>481</v>
      </c>
      <c r="E31" s="983"/>
      <c r="F31" s="984">
        <f>F27+F29</f>
        <v>79.93</v>
      </c>
    </row>
    <row r="32" spans="1:6" ht="13.5" customHeight="1">
      <c r="A32" s="290"/>
      <c r="B32" s="292"/>
      <c r="C32" s="292"/>
      <c r="D32" s="983"/>
      <c r="E32" s="983"/>
      <c r="F32" s="984"/>
    </row>
    <row r="33" spans="1:6" ht="13.5" customHeight="1">
      <c r="A33" s="290"/>
      <c r="B33" s="292"/>
      <c r="C33" s="292"/>
      <c r="D33" s="293"/>
      <c r="E33" s="293"/>
      <c r="F33" s="293"/>
    </row>
    <row r="34" spans="1:6" ht="13.5" customHeight="1">
      <c r="A34" s="290"/>
      <c r="B34" s="292"/>
      <c r="C34" s="292"/>
      <c r="D34" s="293"/>
      <c r="E34" s="293"/>
      <c r="F34" s="293"/>
    </row>
    <row r="35" spans="1:8" ht="13.5" customHeight="1">
      <c r="A35" s="1000" t="s">
        <v>352</v>
      </c>
      <c r="B35" s="1001"/>
      <c r="C35" s="1001"/>
      <c r="D35" s="1001"/>
      <c r="E35" s="1001"/>
      <c r="F35" s="1002"/>
      <c r="H35" s="224">
        <f>F31+F52</f>
        <v>103.42</v>
      </c>
    </row>
    <row r="36" spans="1:6" ht="13.5" customHeight="1">
      <c r="A36" s="994" t="s">
        <v>345</v>
      </c>
      <c r="B36" s="994" t="s">
        <v>346</v>
      </c>
      <c r="C36" s="994" t="s">
        <v>347</v>
      </c>
      <c r="D36" s="996" t="s">
        <v>363</v>
      </c>
      <c r="E36" s="996"/>
      <c r="F36" s="996"/>
    </row>
    <row r="37" spans="1:6" ht="4.5" customHeight="1">
      <c r="A37" s="995"/>
      <c r="B37" s="995"/>
      <c r="C37" s="994"/>
      <c r="D37" s="994" t="s">
        <v>349</v>
      </c>
      <c r="E37" s="994" t="s">
        <v>350</v>
      </c>
      <c r="F37" s="994" t="s">
        <v>351</v>
      </c>
    </row>
    <row r="38" spans="1:6" ht="11.25" customHeight="1">
      <c r="A38" s="995"/>
      <c r="B38" s="995"/>
      <c r="C38" s="994"/>
      <c r="D38" s="994"/>
      <c r="E38" s="994"/>
      <c r="F38" s="994"/>
    </row>
    <row r="39" spans="1:6" ht="6.75" customHeight="1">
      <c r="A39" s="995"/>
      <c r="B39" s="995"/>
      <c r="C39" s="994"/>
      <c r="D39" s="994"/>
      <c r="E39" s="994"/>
      <c r="F39" s="994"/>
    </row>
    <row r="40" spans="1:6" ht="13.5" customHeight="1">
      <c r="A40" s="982">
        <v>0</v>
      </c>
      <c r="B40" s="1003">
        <v>12</v>
      </c>
      <c r="C40" s="220" t="s">
        <v>34</v>
      </c>
      <c r="D40" s="1004">
        <v>1.3</v>
      </c>
      <c r="E40" s="221" t="s">
        <v>34</v>
      </c>
      <c r="F40" s="221" t="s">
        <v>34</v>
      </c>
    </row>
    <row r="41" spans="1:6" ht="13.5" customHeight="1">
      <c r="A41" s="982"/>
      <c r="B41" s="980"/>
      <c r="C41" s="980">
        <f>B42-B40</f>
        <v>5.7</v>
      </c>
      <c r="D41" s="981"/>
      <c r="E41" s="978">
        <f>SUM(0.5*D40,0.5*D42)</f>
        <v>1.23</v>
      </c>
      <c r="F41" s="978">
        <f>PRODUCT(C41,E41)</f>
        <v>7.01</v>
      </c>
    </row>
    <row r="42" spans="1:6" ht="13.5" customHeight="1">
      <c r="A42" s="982"/>
      <c r="B42" s="980">
        <v>17.7</v>
      </c>
      <c r="C42" s="980"/>
      <c r="D42" s="978">
        <v>1.15</v>
      </c>
      <c r="E42" s="978"/>
      <c r="F42" s="978"/>
    </row>
    <row r="43" spans="1:6" ht="13.5" customHeight="1">
      <c r="A43" s="982"/>
      <c r="B43" s="980"/>
      <c r="C43" s="985">
        <f>B44-B42</f>
        <v>17.3</v>
      </c>
      <c r="D43" s="981"/>
      <c r="E43" s="978">
        <f>SUM(0.5*D42,0.5*D44)</f>
        <v>1.08</v>
      </c>
      <c r="F43" s="978">
        <f>PRODUCT(C43,E43)</f>
        <v>18.68</v>
      </c>
    </row>
    <row r="44" spans="1:6" ht="13.5" customHeight="1">
      <c r="A44" s="982"/>
      <c r="B44" s="980">
        <v>35</v>
      </c>
      <c r="C44" s="986"/>
      <c r="D44" s="978">
        <v>1</v>
      </c>
      <c r="E44" s="978"/>
      <c r="F44" s="978"/>
    </row>
    <row r="45" spans="1:6" ht="13.5" customHeight="1">
      <c r="A45" s="982"/>
      <c r="B45" s="980"/>
      <c r="C45" s="985">
        <f>B46-B44</f>
        <v>17</v>
      </c>
      <c r="D45" s="981"/>
      <c r="E45" s="978">
        <f>SUM(0.5*D44,0.5*D46)</f>
        <v>0.5</v>
      </c>
      <c r="F45" s="978">
        <f>PRODUCT(C45,E45)</f>
        <v>8.5</v>
      </c>
    </row>
    <row r="46" spans="1:6" ht="13.5" customHeight="1">
      <c r="A46" s="982"/>
      <c r="B46" s="980">
        <v>52</v>
      </c>
      <c r="C46" s="986"/>
      <c r="D46" s="978">
        <v>0</v>
      </c>
      <c r="E46" s="978"/>
      <c r="F46" s="978"/>
    </row>
    <row r="47" spans="1:6" ht="13.5" customHeight="1">
      <c r="A47" s="982"/>
      <c r="B47" s="980"/>
      <c r="C47" s="218" t="s">
        <v>34</v>
      </c>
      <c r="D47" s="981"/>
      <c r="E47" s="282" t="s">
        <v>34</v>
      </c>
      <c r="F47" s="282" t="s">
        <v>34</v>
      </c>
    </row>
    <row r="48" spans="4:6" ht="14.25" customHeight="1">
      <c r="D48" s="983" t="s">
        <v>353</v>
      </c>
      <c r="E48" s="983"/>
      <c r="F48" s="984">
        <f>F41+F43+F45</f>
        <v>34.19</v>
      </c>
    </row>
    <row r="49" spans="4:6" ht="13.5" customHeight="1" thickBot="1">
      <c r="D49" s="983"/>
      <c r="E49" s="983"/>
      <c r="F49" s="984"/>
    </row>
    <row r="50" spans="4:9" ht="12.75">
      <c r="D50" s="983" t="s">
        <v>354</v>
      </c>
      <c r="E50" s="983"/>
      <c r="F50" s="984">
        <f>-(I53+I54)</f>
        <v>-10.7</v>
      </c>
      <c r="H50" s="227" t="s">
        <v>355</v>
      </c>
      <c r="I50" s="228">
        <v>1.9</v>
      </c>
    </row>
    <row r="51" spans="3:9" ht="12.75">
      <c r="C51" s="223"/>
      <c r="D51" s="983"/>
      <c r="E51" s="983"/>
      <c r="F51" s="984"/>
      <c r="H51" s="229" t="s">
        <v>356</v>
      </c>
      <c r="I51" s="230">
        <v>5.9</v>
      </c>
    </row>
    <row r="52" spans="4:9" ht="12.75">
      <c r="D52" s="983" t="s">
        <v>482</v>
      </c>
      <c r="E52" s="983"/>
      <c r="F52" s="984">
        <f>F48+F50</f>
        <v>23.49</v>
      </c>
      <c r="H52" s="229" t="s">
        <v>357</v>
      </c>
      <c r="I52" s="230">
        <v>9</v>
      </c>
    </row>
    <row r="53" spans="3:9" ht="12.75">
      <c r="C53" s="214"/>
      <c r="D53" s="983"/>
      <c r="E53" s="983"/>
      <c r="F53" s="984"/>
      <c r="G53" s="231"/>
      <c r="H53" s="229" t="s">
        <v>358</v>
      </c>
      <c r="I53" s="232">
        <v>6.5</v>
      </c>
    </row>
    <row r="54" spans="8:9" ht="13.5" thickBot="1">
      <c r="H54" s="233" t="s">
        <v>359</v>
      </c>
      <c r="I54" s="234">
        <v>4.2</v>
      </c>
    </row>
    <row r="55" spans="1:7" ht="12.75" customHeight="1">
      <c r="A55" s="1008" t="s">
        <v>364</v>
      </c>
      <c r="B55" s="1009"/>
      <c r="C55" s="1009"/>
      <c r="D55" s="1010"/>
      <c r="E55" s="1014">
        <f>('4.Zdjęcie humusu'!F31+'4.Zdjęcie humusu'!F51)*0.15</f>
        <v>55.54</v>
      </c>
      <c r="F55" s="1016" t="s">
        <v>365</v>
      </c>
      <c r="G55" s="976">
        <f>'4.Zdjęcie humusu'!F51+'4.Zdjęcie humusu'!F31</f>
        <v>370.29</v>
      </c>
    </row>
    <row r="56" spans="1:7" ht="12.75">
      <c r="A56" s="1011"/>
      <c r="B56" s="1012"/>
      <c r="C56" s="1012"/>
      <c r="D56" s="1013"/>
      <c r="E56" s="1015"/>
      <c r="F56" s="1017"/>
      <c r="G56" s="1019"/>
    </row>
    <row r="57" spans="1:7" ht="12.75">
      <c r="A57" s="1011" t="s">
        <v>486</v>
      </c>
      <c r="B57" s="1012"/>
      <c r="C57" s="1012"/>
      <c r="D57" s="1013"/>
      <c r="E57" s="1015">
        <f>F31*0.1</f>
        <v>7.99</v>
      </c>
      <c r="F57" s="1018" t="s">
        <v>365</v>
      </c>
      <c r="G57" s="976">
        <f>F31</f>
        <v>79.93</v>
      </c>
    </row>
    <row r="58" spans="1:7" ht="12.75">
      <c r="A58" s="1011"/>
      <c r="B58" s="1012"/>
      <c r="C58" s="1012"/>
      <c r="D58" s="1013"/>
      <c r="E58" s="1015"/>
      <c r="F58" s="1018"/>
      <c r="G58" s="1019"/>
    </row>
    <row r="59" spans="1:8" ht="15" customHeight="1">
      <c r="A59" s="1011" t="s">
        <v>483</v>
      </c>
      <c r="B59" s="1012"/>
      <c r="C59" s="1012"/>
      <c r="D59" s="1013"/>
      <c r="E59" s="1015">
        <f>F52*0.1</f>
        <v>2.35</v>
      </c>
      <c r="F59" s="1017" t="s">
        <v>365</v>
      </c>
      <c r="G59" s="976">
        <f>F52</f>
        <v>23.49</v>
      </c>
      <c r="H59" s="224">
        <f>E55-E57-E59</f>
        <v>45.2</v>
      </c>
    </row>
    <row r="60" spans="1:9" ht="12.75">
      <c r="A60" s="1011"/>
      <c r="B60" s="1012"/>
      <c r="C60" s="1012"/>
      <c r="D60" s="1013"/>
      <c r="E60" s="1015"/>
      <c r="F60" s="1017"/>
      <c r="G60" s="1019"/>
      <c r="I60">
        <f>H59/0.15</f>
        <v>301.333333333333</v>
      </c>
    </row>
    <row r="61" spans="1:7" ht="28.5" customHeight="1">
      <c r="A61" s="1005" t="s">
        <v>366</v>
      </c>
      <c r="B61" s="1006"/>
      <c r="C61" s="1006"/>
      <c r="D61" s="1007"/>
      <c r="E61" s="302">
        <f>'4.Zdjęcie humusu'!F31+'4.Zdjęcie humusu'!F51-F31-F52</f>
        <v>266.87</v>
      </c>
      <c r="F61" s="303" t="s">
        <v>360</v>
      </c>
      <c r="G61" s="224">
        <f>G55-G57-G59</f>
        <v>266.87</v>
      </c>
    </row>
    <row r="62" spans="5:6" ht="12.75">
      <c r="E62" s="235"/>
      <c r="F62" s="226"/>
    </row>
  </sheetData>
  <sheetProtection/>
  <mergeCells count="100">
    <mergeCell ref="G55:G56"/>
    <mergeCell ref="G57:G58"/>
    <mergeCell ref="G59:G60"/>
    <mergeCell ref="D27:E28"/>
    <mergeCell ref="F27:F28"/>
    <mergeCell ref="D29:E30"/>
    <mergeCell ref="F29:F30"/>
    <mergeCell ref="D31:E32"/>
    <mergeCell ref="F31:F32"/>
    <mergeCell ref="A35:F35"/>
    <mergeCell ref="A36:A39"/>
    <mergeCell ref="B36:B39"/>
    <mergeCell ref="C36:C39"/>
    <mergeCell ref="D36:F36"/>
    <mergeCell ref="D37:D39"/>
    <mergeCell ref="E37:E39"/>
    <mergeCell ref="E1:F2"/>
    <mergeCell ref="A3:F3"/>
    <mergeCell ref="A4:F5"/>
    <mergeCell ref="A6:F6"/>
    <mergeCell ref="A7:A10"/>
    <mergeCell ref="B7:B10"/>
    <mergeCell ref="C7:C10"/>
    <mergeCell ref="D7:F7"/>
    <mergeCell ref="D8:D10"/>
    <mergeCell ref="E8:E10"/>
    <mergeCell ref="F8:F10"/>
    <mergeCell ref="A11:A26"/>
    <mergeCell ref="B11:B12"/>
    <mergeCell ref="D11:D12"/>
    <mergeCell ref="C12:C13"/>
    <mergeCell ref="E12:E13"/>
    <mergeCell ref="B19:B20"/>
    <mergeCell ref="D19:D20"/>
    <mergeCell ref="C20:C21"/>
    <mergeCell ref="E20:E21"/>
    <mergeCell ref="F12:F13"/>
    <mergeCell ref="B13:B14"/>
    <mergeCell ref="D13:D14"/>
    <mergeCell ref="C14:C15"/>
    <mergeCell ref="E14:E15"/>
    <mergeCell ref="F14:F15"/>
    <mergeCell ref="B15:B16"/>
    <mergeCell ref="D15:D16"/>
    <mergeCell ref="C16:C17"/>
    <mergeCell ref="E16:E17"/>
    <mergeCell ref="F16:F17"/>
    <mergeCell ref="B17:B18"/>
    <mergeCell ref="D17:D18"/>
    <mergeCell ref="C18:C19"/>
    <mergeCell ref="E18:E19"/>
    <mergeCell ref="F18:F19"/>
    <mergeCell ref="F20:F21"/>
    <mergeCell ref="B21:B22"/>
    <mergeCell ref="D21:D22"/>
    <mergeCell ref="C22:C23"/>
    <mergeCell ref="E22:E23"/>
    <mergeCell ref="F22:F23"/>
    <mergeCell ref="B23:B24"/>
    <mergeCell ref="D23:D24"/>
    <mergeCell ref="C24:C25"/>
    <mergeCell ref="E24:E25"/>
    <mergeCell ref="F24:F25"/>
    <mergeCell ref="B25:B26"/>
    <mergeCell ref="D25:D26"/>
    <mergeCell ref="F37:F39"/>
    <mergeCell ref="A40:A47"/>
    <mergeCell ref="B40:B41"/>
    <mergeCell ref="D40:D41"/>
    <mergeCell ref="C41:C42"/>
    <mergeCell ref="E41:E42"/>
    <mergeCell ref="F41:F42"/>
    <mergeCell ref="B42:B43"/>
    <mergeCell ref="D42:D43"/>
    <mergeCell ref="C43:C44"/>
    <mergeCell ref="E43:E44"/>
    <mergeCell ref="F43:F44"/>
    <mergeCell ref="B44:B45"/>
    <mergeCell ref="D44:D45"/>
    <mergeCell ref="C45:C46"/>
    <mergeCell ref="E45:E46"/>
    <mergeCell ref="F45:F46"/>
    <mergeCell ref="B46:B47"/>
    <mergeCell ref="D46:D47"/>
    <mergeCell ref="D48:E49"/>
    <mergeCell ref="F48:F49"/>
    <mergeCell ref="D50:E51"/>
    <mergeCell ref="F50:F51"/>
    <mergeCell ref="D52:E53"/>
    <mergeCell ref="F52:F53"/>
    <mergeCell ref="A61:D61"/>
    <mergeCell ref="A55:D56"/>
    <mergeCell ref="E55:E56"/>
    <mergeCell ref="F55:F56"/>
    <mergeCell ref="A59:D60"/>
    <mergeCell ref="E59:E60"/>
    <mergeCell ref="F59:F60"/>
    <mergeCell ref="A57:D58"/>
    <mergeCell ref="E57:E58"/>
    <mergeCell ref="F57:F58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AO75"/>
  <sheetViews>
    <sheetView view="pageBreakPreview" zoomScale="85" zoomScaleSheetLayoutView="85" zoomScalePageLayoutView="0" workbookViewId="0" topLeftCell="A61">
      <selection activeCell="V104" sqref="V104"/>
    </sheetView>
  </sheetViews>
  <sheetFormatPr defaultColWidth="9.00390625" defaultRowHeight="12.75"/>
  <cols>
    <col min="1" max="1" width="7.875" style="0" customWidth="1"/>
    <col min="2" max="2" width="9.50390625" style="0" customWidth="1"/>
    <col min="8" max="8" width="9.875" style="0" bestFit="1" customWidth="1"/>
    <col min="9" max="9" width="9.125" style="0" customWidth="1"/>
    <col min="10" max="10" width="8.50390625" style="0" customWidth="1"/>
    <col min="11" max="12" width="8.375" style="0" customWidth="1"/>
  </cols>
  <sheetData>
    <row r="1" spans="13:14" ht="17.25" customHeight="1">
      <c r="M1" s="987" t="s">
        <v>444</v>
      </c>
      <c r="N1" s="987"/>
    </row>
    <row r="2" spans="12:14" ht="17.25" customHeight="1">
      <c r="L2" s="236"/>
      <c r="M2" s="988"/>
      <c r="N2" s="988"/>
    </row>
    <row r="3" spans="1:14" ht="30.75" customHeight="1">
      <c r="A3" s="989" t="s">
        <v>367</v>
      </c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989"/>
      <c r="N3" s="989"/>
    </row>
    <row r="4" spans="1:14" ht="23.25" customHeight="1">
      <c r="A4" s="1055" t="str">
        <f>'4.Zdjęcie humusu'!A4:F5</f>
        <v>PRZEBUDOWA DROGI WOJEWÓDZKIEJ NR 987 KOLBUSZOWA – SĘDZISZÓW MAŁOPOLSKI POLEGAJĄCA NA BUDOWIE CHODNIKA DLA PIESZYCH W KM 13+788 ÷ 13+940 STRONA LEWA W MIEJSCOWOŚCI CZARNA SĘDZISZOWSKA</v>
      </c>
      <c r="B4" s="1055"/>
      <c r="C4" s="1055"/>
      <c r="D4" s="1055"/>
      <c r="E4" s="1055"/>
      <c r="F4" s="1055"/>
      <c r="G4" s="1055"/>
      <c r="H4" s="1055"/>
      <c r="I4" s="1055"/>
      <c r="J4" s="1055"/>
      <c r="K4" s="1055"/>
      <c r="L4" s="1055"/>
      <c r="M4" s="1055"/>
      <c r="N4" s="1055"/>
    </row>
    <row r="5" spans="1:14" ht="24.75" customHeight="1">
      <c r="A5" s="1055"/>
      <c r="B5" s="1055"/>
      <c r="C5" s="1055"/>
      <c r="D5" s="1055"/>
      <c r="E5" s="1055"/>
      <c r="F5" s="1055"/>
      <c r="G5" s="1055"/>
      <c r="H5" s="1055"/>
      <c r="I5" s="1055"/>
      <c r="J5" s="1055"/>
      <c r="K5" s="1055"/>
      <c r="L5" s="1055"/>
      <c r="M5" s="1055"/>
      <c r="N5" s="1055"/>
    </row>
    <row r="6" spans="1:14" ht="24.75" customHeight="1">
      <c r="A6" s="284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5"/>
    </row>
    <row r="7" spans="1:14" ht="21.75" customHeight="1">
      <c r="A7" s="1050" t="s">
        <v>344</v>
      </c>
      <c r="B7" s="1052"/>
      <c r="C7" s="1052"/>
      <c r="D7" s="1052"/>
      <c r="E7" s="1052"/>
      <c r="F7" s="1052"/>
      <c r="G7" s="1052"/>
      <c r="H7" s="1052"/>
      <c r="I7" s="1052"/>
      <c r="J7" s="1052"/>
      <c r="K7" s="1052"/>
      <c r="L7" s="1052"/>
      <c r="M7" s="1052"/>
      <c r="N7" s="1051"/>
    </row>
    <row r="8" spans="1:14" ht="12.75">
      <c r="A8" s="994" t="s">
        <v>345</v>
      </c>
      <c r="B8" s="994" t="s">
        <v>346</v>
      </c>
      <c r="C8" s="994" t="s">
        <v>368</v>
      </c>
      <c r="D8" s="995"/>
      <c r="E8" s="994" t="s">
        <v>369</v>
      </c>
      <c r="F8" s="995"/>
      <c r="G8" s="994" t="s">
        <v>370</v>
      </c>
      <c r="H8" s="994" t="s">
        <v>371</v>
      </c>
      <c r="I8" s="995"/>
      <c r="J8" s="994" t="s">
        <v>372</v>
      </c>
      <c r="K8" s="994" t="s">
        <v>373</v>
      </c>
      <c r="L8" s="995"/>
      <c r="M8" s="994" t="s">
        <v>374</v>
      </c>
      <c r="N8" s="995"/>
    </row>
    <row r="9" spans="1:14" ht="12.75">
      <c r="A9" s="995"/>
      <c r="B9" s="995"/>
      <c r="C9" s="995"/>
      <c r="D9" s="995"/>
      <c r="E9" s="995"/>
      <c r="F9" s="995"/>
      <c r="G9" s="995"/>
      <c r="H9" s="995"/>
      <c r="I9" s="995"/>
      <c r="J9" s="995"/>
      <c r="K9" s="995"/>
      <c r="L9" s="995"/>
      <c r="M9" s="995"/>
      <c r="N9" s="995"/>
    </row>
    <row r="10" spans="1:14" ht="12.75">
      <c r="A10" s="995"/>
      <c r="B10" s="995"/>
      <c r="C10" s="217" t="s">
        <v>375</v>
      </c>
      <c r="D10" s="217" t="s">
        <v>376</v>
      </c>
      <c r="E10" s="217" t="s">
        <v>375</v>
      </c>
      <c r="F10" s="217" t="s">
        <v>376</v>
      </c>
      <c r="G10" s="995"/>
      <c r="H10" s="217" t="s">
        <v>375</v>
      </c>
      <c r="I10" s="217" t="s">
        <v>376</v>
      </c>
      <c r="J10" s="995"/>
      <c r="K10" s="217" t="s">
        <v>375</v>
      </c>
      <c r="L10" s="217" t="s">
        <v>376</v>
      </c>
      <c r="M10" s="237" t="s">
        <v>377</v>
      </c>
      <c r="N10" s="237" t="s">
        <v>378</v>
      </c>
    </row>
    <row r="11" spans="1:14" ht="12.75">
      <c r="A11" s="995"/>
      <c r="B11" s="995"/>
      <c r="C11" s="994" t="s">
        <v>379</v>
      </c>
      <c r="D11" s="994"/>
      <c r="E11" s="994" t="s">
        <v>379</v>
      </c>
      <c r="F11" s="994"/>
      <c r="G11" s="995"/>
      <c r="H11" s="994" t="s">
        <v>380</v>
      </c>
      <c r="I11" s="994"/>
      <c r="J11" s="995"/>
      <c r="K11" s="994" t="s">
        <v>380</v>
      </c>
      <c r="L11" s="994"/>
      <c r="M11" s="994" t="s">
        <v>380</v>
      </c>
      <c r="N11" s="994"/>
    </row>
    <row r="12" spans="1:14" ht="12.75">
      <c r="A12" s="1031">
        <v>13</v>
      </c>
      <c r="B12" s="980">
        <v>780</v>
      </c>
      <c r="C12" s="980">
        <v>0</v>
      </c>
      <c r="D12" s="980">
        <v>0</v>
      </c>
      <c r="E12" s="218" t="s">
        <v>34</v>
      </c>
      <c r="F12" s="218" t="s">
        <v>34</v>
      </c>
      <c r="G12" s="218" t="s">
        <v>34</v>
      </c>
      <c r="H12" s="238" t="s">
        <v>381</v>
      </c>
      <c r="I12" s="238" t="s">
        <v>382</v>
      </c>
      <c r="J12" s="238" t="s">
        <v>383</v>
      </c>
      <c r="K12" s="238" t="s">
        <v>384</v>
      </c>
      <c r="L12" s="238" t="s">
        <v>385</v>
      </c>
      <c r="M12" s="238" t="s">
        <v>386</v>
      </c>
      <c r="N12" s="238" t="s">
        <v>387</v>
      </c>
    </row>
    <row r="13" spans="1:14" ht="12.75">
      <c r="A13" s="1032"/>
      <c r="B13" s="980"/>
      <c r="C13" s="980"/>
      <c r="D13" s="980"/>
      <c r="E13" s="1025">
        <f>SUM(0.5*C12,0.5*C14)</f>
        <v>0.835</v>
      </c>
      <c r="F13" s="980">
        <f>SUM(0.5*D12,0.5*D14)</f>
        <v>0.23</v>
      </c>
      <c r="G13" s="980">
        <f>SUM(B14,-B12)</f>
        <v>2.4</v>
      </c>
      <c r="H13" s="980">
        <f>PRODUCT(E13,G13)</f>
        <v>2</v>
      </c>
      <c r="I13" s="980">
        <f>PRODUCT(F13,G13)</f>
        <v>0.55</v>
      </c>
      <c r="J13" s="980">
        <f>MIN(H13:I14)</f>
        <v>0.55</v>
      </c>
      <c r="K13" s="980">
        <f>IF(I13&lt;H13,(H13-I13),"")</f>
        <v>1.45</v>
      </c>
      <c r="L13" s="980">
        <f>IF(H13&lt;I13,(I13-H13),"")</f>
      </c>
      <c r="M13" s="980">
        <f>K13</f>
        <v>1.45</v>
      </c>
      <c r="N13" s="980">
        <f>L13</f>
      </c>
    </row>
    <row r="14" spans="1:14" ht="12.75">
      <c r="A14" s="1032"/>
      <c r="B14" s="980">
        <v>782.4</v>
      </c>
      <c r="C14" s="980">
        <v>1.67</v>
      </c>
      <c r="D14" s="980">
        <v>0.46</v>
      </c>
      <c r="E14" s="1025"/>
      <c r="F14" s="980"/>
      <c r="G14" s="980"/>
      <c r="H14" s="980"/>
      <c r="I14" s="980"/>
      <c r="J14" s="980"/>
      <c r="K14" s="980"/>
      <c r="L14" s="980"/>
      <c r="M14" s="980"/>
      <c r="N14" s="980"/>
    </row>
    <row r="15" spans="1:14" ht="12.75">
      <c r="A15" s="1032"/>
      <c r="B15" s="980"/>
      <c r="C15" s="980"/>
      <c r="D15" s="980"/>
      <c r="E15" s="1025">
        <f>SUM(0.5*C14,0.5*C16)</f>
        <v>1.065</v>
      </c>
      <c r="F15" s="980">
        <f>SUM(0.5*D14,0.5*D16)</f>
        <v>0.61</v>
      </c>
      <c r="G15" s="980">
        <f>SUM(B16,-B14)</f>
        <v>28.9</v>
      </c>
      <c r="H15" s="980">
        <f>PRODUCT(E15,G15)</f>
        <v>30.78</v>
      </c>
      <c r="I15" s="980">
        <f>PRODUCT(F15,G15)</f>
        <v>17.63</v>
      </c>
      <c r="J15" s="980">
        <f>MIN(H15:I16)</f>
        <v>17.63</v>
      </c>
      <c r="K15" s="980">
        <f>IF(I15&lt;H15,(H15-I15),"")</f>
        <v>13.15</v>
      </c>
      <c r="L15" s="980">
        <f>IF(H15&lt;I15,(I15-H15),"")</f>
      </c>
      <c r="M15" s="980">
        <f>K15+M13</f>
        <v>14.6</v>
      </c>
      <c r="N15" s="980">
        <f>L15</f>
      </c>
    </row>
    <row r="16" spans="1:14" ht="12.75">
      <c r="A16" s="1032"/>
      <c r="B16" s="980">
        <v>811.3</v>
      </c>
      <c r="C16" s="980">
        <v>0.46</v>
      </c>
      <c r="D16" s="980">
        <v>0.76</v>
      </c>
      <c r="E16" s="1025"/>
      <c r="F16" s="980"/>
      <c r="G16" s="980"/>
      <c r="H16" s="980"/>
      <c r="I16" s="980"/>
      <c r="J16" s="980"/>
      <c r="K16" s="980"/>
      <c r="L16" s="980"/>
      <c r="M16" s="980"/>
      <c r="N16" s="980"/>
    </row>
    <row r="17" spans="1:14" ht="12.75">
      <c r="A17" s="1032"/>
      <c r="B17" s="980"/>
      <c r="C17" s="980"/>
      <c r="D17" s="980"/>
      <c r="E17" s="980">
        <f>SUM(0.5*C16,0.5*C18)</f>
        <v>0.57</v>
      </c>
      <c r="F17" s="980">
        <f>SUM(0.5*D16,0.5*D18)</f>
        <v>0.81</v>
      </c>
      <c r="G17" s="980">
        <f>SUM(B18,-B16)</f>
        <v>18.7</v>
      </c>
      <c r="H17" s="980">
        <f>PRODUCT(E17,G17)</f>
        <v>10.66</v>
      </c>
      <c r="I17" s="980">
        <f>PRODUCT(F17,G17)</f>
        <v>15.15</v>
      </c>
      <c r="J17" s="980">
        <f>MIN(H17:I18)</f>
        <v>10.66</v>
      </c>
      <c r="K17" s="980">
        <f>IF(I17&lt;H17,(H17-I17),"")</f>
      </c>
      <c r="L17" s="980">
        <f>IF(H17&lt;I17,(I17-H17),"")</f>
        <v>4.49</v>
      </c>
      <c r="M17" s="980">
        <f>M15-L17</f>
        <v>10.11</v>
      </c>
      <c r="N17" s="980"/>
    </row>
    <row r="18" spans="1:14" ht="12.75">
      <c r="A18" s="1032"/>
      <c r="B18" s="980">
        <v>830</v>
      </c>
      <c r="C18" s="980">
        <v>0.68</v>
      </c>
      <c r="D18" s="980">
        <v>0.85</v>
      </c>
      <c r="E18" s="980"/>
      <c r="F18" s="980"/>
      <c r="G18" s="980"/>
      <c r="H18" s="980"/>
      <c r="I18" s="980"/>
      <c r="J18" s="980"/>
      <c r="K18" s="980"/>
      <c r="L18" s="980"/>
      <c r="M18" s="980"/>
      <c r="N18" s="980"/>
    </row>
    <row r="19" spans="1:14" ht="12.75">
      <c r="A19" s="1032"/>
      <c r="B19" s="980"/>
      <c r="C19" s="980"/>
      <c r="D19" s="980"/>
      <c r="E19" s="980">
        <f>SUM(0.5*C18,0.5*C20)</f>
        <v>0.84</v>
      </c>
      <c r="F19" s="980">
        <f>SUM(0.5*D18,0.5*D20)</f>
        <v>1.14</v>
      </c>
      <c r="G19" s="980">
        <f>SUM(B20,-B18)</f>
        <v>31.6</v>
      </c>
      <c r="H19" s="980">
        <f>PRODUCT(E19,G19)</f>
        <v>26.54</v>
      </c>
      <c r="I19" s="980">
        <f>PRODUCT(F19,G19)</f>
        <v>36.02</v>
      </c>
      <c r="J19" s="980">
        <f>MIN(H19:I20)</f>
        <v>26.54</v>
      </c>
      <c r="K19" s="980">
        <f>IF(I19&lt;H19,(H19-I19),"")</f>
      </c>
      <c r="L19" s="980">
        <f>IF(H19&lt;I19,(I19-H19),"")</f>
        <v>9.48</v>
      </c>
      <c r="M19" s="980"/>
      <c r="N19" s="1053">
        <f>M17-L19</f>
        <v>0.63</v>
      </c>
    </row>
    <row r="20" spans="1:14" ht="12.75">
      <c r="A20" s="1032"/>
      <c r="B20" s="980">
        <v>861.6</v>
      </c>
      <c r="C20" s="980">
        <v>1</v>
      </c>
      <c r="D20" s="980">
        <v>1.43</v>
      </c>
      <c r="E20" s="980"/>
      <c r="F20" s="980"/>
      <c r="G20" s="980"/>
      <c r="H20" s="980"/>
      <c r="I20" s="980"/>
      <c r="J20" s="980"/>
      <c r="K20" s="980"/>
      <c r="L20" s="980"/>
      <c r="M20" s="980"/>
      <c r="N20" s="1054"/>
    </row>
    <row r="21" spans="1:14" ht="12.75">
      <c r="A21" s="1032"/>
      <c r="B21" s="980"/>
      <c r="C21" s="980"/>
      <c r="D21" s="980"/>
      <c r="E21" s="980">
        <f>SUM(0.5*C20,0.5*C22)</f>
        <v>1.03</v>
      </c>
      <c r="F21" s="980">
        <f>SUM(0.5*D20,0.5*D22)</f>
        <v>1.32</v>
      </c>
      <c r="G21" s="980">
        <f>SUM(B22,-B20)</f>
        <v>18.4</v>
      </c>
      <c r="H21" s="980">
        <f>PRODUCT(E21,G21)</f>
        <v>18.95</v>
      </c>
      <c r="I21" s="980">
        <f>PRODUCT(F21,G21)</f>
        <v>24.29</v>
      </c>
      <c r="J21" s="980">
        <f>MIN(H21:I22)</f>
        <v>18.95</v>
      </c>
      <c r="K21" s="980">
        <f>IF(I21&lt;H21,(H21-I21),"")</f>
      </c>
      <c r="L21" s="980">
        <f>IF(H21&lt;I21,(I21-H21),"")</f>
        <v>5.34</v>
      </c>
      <c r="M21" s="980"/>
      <c r="N21" s="980">
        <f>N19-L21</f>
        <v>-4.71</v>
      </c>
    </row>
    <row r="22" spans="1:14" ht="12.75">
      <c r="A22" s="1032"/>
      <c r="B22" s="980">
        <v>880</v>
      </c>
      <c r="C22" s="980">
        <v>1.05</v>
      </c>
      <c r="D22" s="980">
        <v>1.2</v>
      </c>
      <c r="E22" s="980"/>
      <c r="F22" s="980"/>
      <c r="G22" s="980"/>
      <c r="H22" s="980"/>
      <c r="I22" s="980"/>
      <c r="J22" s="980"/>
      <c r="K22" s="980"/>
      <c r="L22" s="980"/>
      <c r="M22" s="980"/>
      <c r="N22" s="980"/>
    </row>
    <row r="23" spans="1:14" ht="12.75">
      <c r="A23" s="1032"/>
      <c r="B23" s="980"/>
      <c r="C23" s="980"/>
      <c r="D23" s="980"/>
      <c r="E23" s="980">
        <f>SUM(0.5*C22,0.5*C24)</f>
        <v>0.88</v>
      </c>
      <c r="F23" s="980">
        <f>SUM(0.5*D22,0.5*D24)</f>
        <v>0.85</v>
      </c>
      <c r="G23" s="980">
        <f>SUM(B24,-B22)</f>
        <v>23.7</v>
      </c>
      <c r="H23" s="980">
        <f>PRODUCT(E23,G23)</f>
        <v>20.86</v>
      </c>
      <c r="I23" s="980">
        <f>PRODUCT(F23,G23)</f>
        <v>20.15</v>
      </c>
      <c r="J23" s="980">
        <f>MIN(H23:I24)</f>
        <v>20.15</v>
      </c>
      <c r="K23" s="980">
        <f>IF(I23&lt;H23,(H23-I23),"")</f>
        <v>0.71</v>
      </c>
      <c r="L23" s="980">
        <f>IF(H23&lt;I23,(I23-H23),"")</f>
      </c>
      <c r="M23" s="980"/>
      <c r="N23" s="980">
        <f>N21+K23</f>
        <v>-4</v>
      </c>
    </row>
    <row r="24" spans="1:14" ht="12.75">
      <c r="A24" s="1032"/>
      <c r="B24" s="980">
        <v>903.7</v>
      </c>
      <c r="C24" s="980">
        <v>0.7</v>
      </c>
      <c r="D24" s="980">
        <v>0.5</v>
      </c>
      <c r="E24" s="980"/>
      <c r="F24" s="980"/>
      <c r="G24" s="980"/>
      <c r="H24" s="980"/>
      <c r="I24" s="980"/>
      <c r="J24" s="980"/>
      <c r="K24" s="980"/>
      <c r="L24" s="980"/>
      <c r="M24" s="980"/>
      <c r="N24" s="980"/>
    </row>
    <row r="25" spans="1:14" ht="12.75">
      <c r="A25" s="1032"/>
      <c r="B25" s="980"/>
      <c r="C25" s="980"/>
      <c r="D25" s="980"/>
      <c r="E25" s="980">
        <f>SUM(0.5*C24,0.5*C26)</f>
        <v>0.9</v>
      </c>
      <c r="F25" s="980">
        <f>SUM(0.5*D24,0.5*D26)</f>
        <v>0.75</v>
      </c>
      <c r="G25" s="980">
        <f>SUM(B26,-B24)</f>
        <v>34.3</v>
      </c>
      <c r="H25" s="980">
        <f>PRODUCT(E25,G25)</f>
        <v>30.87</v>
      </c>
      <c r="I25" s="980">
        <f>PRODUCT(F25,G25)</f>
        <v>25.73</v>
      </c>
      <c r="J25" s="980">
        <f>MIN(H25:I26)</f>
        <v>25.73</v>
      </c>
      <c r="K25" s="980">
        <f>IF(I25&lt;H25,(H25-I25),"")</f>
        <v>5.14</v>
      </c>
      <c r="L25" s="980">
        <f>IF(H25&lt;I25,(I25-H25),"")</f>
      </c>
      <c r="M25" s="980"/>
      <c r="N25" s="980">
        <f>N23+K25</f>
        <v>1.14</v>
      </c>
    </row>
    <row r="26" spans="1:14" ht="3.75" customHeight="1">
      <c r="A26" s="1032"/>
      <c r="B26" s="980">
        <v>938</v>
      </c>
      <c r="C26" s="980">
        <v>1.1</v>
      </c>
      <c r="D26" s="980">
        <v>1</v>
      </c>
      <c r="E26" s="980"/>
      <c r="F26" s="980"/>
      <c r="G26" s="980"/>
      <c r="H26" s="980"/>
      <c r="I26" s="980"/>
      <c r="J26" s="980"/>
      <c r="K26" s="980"/>
      <c r="L26" s="980"/>
      <c r="M26" s="980"/>
      <c r="N26" s="980"/>
    </row>
    <row r="27" spans="1:14" ht="18.75" customHeight="1">
      <c r="A27" s="1032"/>
      <c r="B27" s="980"/>
      <c r="C27" s="980"/>
      <c r="D27" s="980"/>
      <c r="E27" s="222" t="s">
        <v>34</v>
      </c>
      <c r="F27" s="222" t="s">
        <v>34</v>
      </c>
      <c r="G27" s="222" t="s">
        <v>34</v>
      </c>
      <c r="H27" s="222" t="s">
        <v>34</v>
      </c>
      <c r="I27" s="222" t="s">
        <v>34</v>
      </c>
      <c r="J27" s="222" t="s">
        <v>34</v>
      </c>
      <c r="K27" s="222" t="s">
        <v>34</v>
      </c>
      <c r="L27" s="222" t="s">
        <v>34</v>
      </c>
      <c r="M27" s="240"/>
      <c r="N27" s="222">
        <f>N25</f>
        <v>1.14</v>
      </c>
    </row>
    <row r="28" spans="1:14" ht="18.75" customHeight="1">
      <c r="A28" s="1032"/>
      <c r="B28" s="980" t="s">
        <v>34</v>
      </c>
      <c r="C28" s="980" t="s">
        <v>34</v>
      </c>
      <c r="D28" s="980" t="s">
        <v>34</v>
      </c>
      <c r="E28" s="1020" t="s">
        <v>388</v>
      </c>
      <c r="F28" s="1020"/>
      <c r="G28" s="1020"/>
      <c r="H28" s="1020">
        <f>SUM(H13:H26)</f>
        <v>140.66</v>
      </c>
      <c r="I28" s="1020">
        <f>SUM(I13:I26)</f>
        <v>139.52</v>
      </c>
      <c r="J28" s="1020">
        <f>SUM(J13:J26)</f>
        <v>120.21</v>
      </c>
      <c r="K28" s="1020">
        <f>SUM(K13:K26)</f>
        <v>20.45</v>
      </c>
      <c r="L28" s="1020">
        <f>SUM(L15:L22)</f>
        <v>19.31</v>
      </c>
      <c r="M28" s="1020"/>
      <c r="N28" s="1020">
        <f>N27</f>
        <v>1.14</v>
      </c>
    </row>
    <row r="29" spans="1:41" ht="18.75" customHeight="1">
      <c r="A29" s="1033"/>
      <c r="B29" s="980"/>
      <c r="C29" s="980"/>
      <c r="D29" s="980"/>
      <c r="E29" s="1020"/>
      <c r="F29" s="1020"/>
      <c r="G29" s="1020"/>
      <c r="H29" s="1020"/>
      <c r="I29" s="1020"/>
      <c r="J29" s="1020"/>
      <c r="K29" s="1020"/>
      <c r="L29" s="1020"/>
      <c r="M29" s="1020"/>
      <c r="N29" s="1030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</row>
    <row r="30" spans="1:41" s="297" customFormat="1" ht="18.75" customHeight="1">
      <c r="A30" s="287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96"/>
      <c r="N30" s="289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</row>
    <row r="31" spans="1:14" ht="18.75" customHeight="1">
      <c r="A31" s="1050" t="s">
        <v>352</v>
      </c>
      <c r="B31" s="1052"/>
      <c r="C31" s="1052"/>
      <c r="D31" s="1052"/>
      <c r="E31" s="1052"/>
      <c r="F31" s="1052"/>
      <c r="G31" s="1052"/>
      <c r="H31" s="1052"/>
      <c r="I31" s="1052"/>
      <c r="J31" s="1052"/>
      <c r="K31" s="1052"/>
      <c r="L31" s="1052"/>
      <c r="M31" s="1052"/>
      <c r="N31" s="1051"/>
    </row>
    <row r="32" spans="1:14" ht="12.75" customHeight="1">
      <c r="A32" s="994" t="s">
        <v>345</v>
      </c>
      <c r="B32" s="994" t="s">
        <v>346</v>
      </c>
      <c r="C32" s="994" t="s">
        <v>368</v>
      </c>
      <c r="D32" s="995"/>
      <c r="E32" s="994" t="s">
        <v>369</v>
      </c>
      <c r="F32" s="995"/>
      <c r="G32" s="994" t="s">
        <v>370</v>
      </c>
      <c r="H32" s="994" t="s">
        <v>371</v>
      </c>
      <c r="I32" s="995"/>
      <c r="J32" s="994" t="s">
        <v>372</v>
      </c>
      <c r="K32" s="994" t="s">
        <v>373</v>
      </c>
      <c r="L32" s="995"/>
      <c r="M32" s="994" t="s">
        <v>374</v>
      </c>
      <c r="N32" s="995"/>
    </row>
    <row r="33" spans="1:14" ht="12.75">
      <c r="A33" s="995"/>
      <c r="B33" s="995"/>
      <c r="C33" s="995"/>
      <c r="D33" s="995"/>
      <c r="E33" s="995"/>
      <c r="F33" s="995"/>
      <c r="G33" s="995"/>
      <c r="H33" s="995"/>
      <c r="I33" s="995"/>
      <c r="J33" s="995"/>
      <c r="K33" s="995"/>
      <c r="L33" s="995"/>
      <c r="M33" s="995"/>
      <c r="N33" s="995"/>
    </row>
    <row r="34" spans="1:14" ht="12.75">
      <c r="A34" s="995"/>
      <c r="B34" s="995"/>
      <c r="C34" s="217" t="s">
        <v>375</v>
      </c>
      <c r="D34" s="217" t="s">
        <v>376</v>
      </c>
      <c r="E34" s="217" t="s">
        <v>375</v>
      </c>
      <c r="F34" s="217" t="s">
        <v>376</v>
      </c>
      <c r="G34" s="995"/>
      <c r="H34" s="217" t="s">
        <v>375</v>
      </c>
      <c r="I34" s="217" t="s">
        <v>376</v>
      </c>
      <c r="J34" s="995"/>
      <c r="K34" s="217" t="s">
        <v>375</v>
      </c>
      <c r="L34" s="217" t="s">
        <v>376</v>
      </c>
      <c r="M34" s="237" t="s">
        <v>377</v>
      </c>
      <c r="N34" s="237" t="s">
        <v>378</v>
      </c>
    </row>
    <row r="35" spans="1:14" ht="12.75">
      <c r="A35" s="995"/>
      <c r="B35" s="995"/>
      <c r="C35" s="994" t="s">
        <v>379</v>
      </c>
      <c r="D35" s="994"/>
      <c r="E35" s="994" t="s">
        <v>379</v>
      </c>
      <c r="F35" s="994"/>
      <c r="G35" s="995"/>
      <c r="H35" s="994" t="s">
        <v>380</v>
      </c>
      <c r="I35" s="994"/>
      <c r="J35" s="995"/>
      <c r="K35" s="994" t="s">
        <v>380</v>
      </c>
      <c r="L35" s="994"/>
      <c r="M35" s="994" t="s">
        <v>380</v>
      </c>
      <c r="N35" s="994"/>
    </row>
    <row r="36" spans="1:14" ht="12.75">
      <c r="A36" s="1031">
        <v>0</v>
      </c>
      <c r="B36" s="1003">
        <v>12</v>
      </c>
      <c r="C36" s="980">
        <v>1.1</v>
      </c>
      <c r="D36" s="980">
        <v>1</v>
      </c>
      <c r="E36" s="241"/>
      <c r="F36" s="241"/>
      <c r="G36" s="241"/>
      <c r="H36" s="241"/>
      <c r="I36" s="241"/>
      <c r="J36" s="241"/>
      <c r="K36" s="241"/>
      <c r="L36" s="241"/>
      <c r="M36" s="241"/>
      <c r="N36" s="241"/>
    </row>
    <row r="37" spans="1:14" ht="12.75">
      <c r="A37" s="1032"/>
      <c r="B37" s="980"/>
      <c r="C37" s="980"/>
      <c r="D37" s="980"/>
      <c r="E37" s="980">
        <f>SUM(0.5*C36,0.5*C38)</f>
        <v>0.91</v>
      </c>
      <c r="F37" s="980">
        <f>SUM(0.5*D36,0.5*D38)</f>
        <v>0.9</v>
      </c>
      <c r="G37" s="980">
        <f>SUM(B38,-B36)</f>
        <v>5.7</v>
      </c>
      <c r="H37" s="980">
        <f>PRODUCT(E37,G37)</f>
        <v>5.19</v>
      </c>
      <c r="I37" s="980">
        <f>PRODUCT(F37,G37)</f>
        <v>5.13</v>
      </c>
      <c r="J37" s="980">
        <f>MIN(H37:I38)</f>
        <v>5.13</v>
      </c>
      <c r="K37" s="980">
        <f>IF(I37&lt;H37,(H37-I37),"")</f>
        <v>0.06</v>
      </c>
      <c r="L37" s="980">
        <f>IF(H37&lt;I37,(I37-H37),"")</f>
      </c>
      <c r="M37" s="980"/>
      <c r="N37" s="980">
        <f>N27+K37</f>
        <v>1.2</v>
      </c>
    </row>
    <row r="38" spans="1:14" ht="12.75">
      <c r="A38" s="1032"/>
      <c r="B38" s="980">
        <v>17.7</v>
      </c>
      <c r="C38" s="980">
        <v>0.72</v>
      </c>
      <c r="D38" s="980">
        <v>0.8</v>
      </c>
      <c r="E38" s="980"/>
      <c r="F38" s="980"/>
      <c r="G38" s="980"/>
      <c r="H38" s="980"/>
      <c r="I38" s="980"/>
      <c r="J38" s="980"/>
      <c r="K38" s="980"/>
      <c r="L38" s="980"/>
      <c r="M38" s="980"/>
      <c r="N38" s="980"/>
    </row>
    <row r="39" spans="1:14" ht="12.75">
      <c r="A39" s="1032"/>
      <c r="B39" s="980"/>
      <c r="C39" s="980"/>
      <c r="D39" s="980"/>
      <c r="E39" s="980">
        <f>SUM(0.5*C38,0.5*C40)</f>
        <v>0.76</v>
      </c>
      <c r="F39" s="980">
        <f>SUM(0.5*D38,0.5*D40)</f>
        <v>0.73</v>
      </c>
      <c r="G39" s="980">
        <f>SUM(B40,-B38)</f>
        <v>17.3</v>
      </c>
      <c r="H39" s="980">
        <f>PRODUCT(E39,G39)</f>
        <v>13.15</v>
      </c>
      <c r="I39" s="980">
        <f>PRODUCT(F39,G39)</f>
        <v>12.63</v>
      </c>
      <c r="J39" s="980">
        <f>MIN(H39:I40)</f>
        <v>12.63</v>
      </c>
      <c r="K39" s="980">
        <f>IF(I39&lt;H39,(H39-I39),"")</f>
        <v>0.52</v>
      </c>
      <c r="L39" s="980">
        <f>IF(H39&lt;I39,(I39-H39),"")</f>
      </c>
      <c r="M39" s="980"/>
      <c r="N39" s="980">
        <f>N37+K39</f>
        <v>1.72</v>
      </c>
    </row>
    <row r="40" spans="1:14" ht="12.75">
      <c r="A40" s="1032"/>
      <c r="B40" s="980">
        <v>35</v>
      </c>
      <c r="C40" s="980">
        <v>0.8</v>
      </c>
      <c r="D40" s="980">
        <v>0.65</v>
      </c>
      <c r="E40" s="980"/>
      <c r="F40" s="980"/>
      <c r="G40" s="980"/>
      <c r="H40" s="980"/>
      <c r="I40" s="980"/>
      <c r="J40" s="980"/>
      <c r="K40" s="980"/>
      <c r="L40" s="980"/>
      <c r="M40" s="980"/>
      <c r="N40" s="980"/>
    </row>
    <row r="41" spans="1:14" ht="12.75">
      <c r="A41" s="1032"/>
      <c r="B41" s="980"/>
      <c r="C41" s="980"/>
      <c r="D41" s="980"/>
      <c r="E41" s="980">
        <f>SUM(0.5*C40,0.5*C42)</f>
        <v>0.4</v>
      </c>
      <c r="F41" s="980">
        <f>SUM(0.5*D40,0.5*D42)</f>
        <v>0.33</v>
      </c>
      <c r="G41" s="980">
        <f>SUM(B42,-B40)</f>
        <v>17</v>
      </c>
      <c r="H41" s="980">
        <f>PRODUCT(E41,G41)</f>
        <v>6.8</v>
      </c>
      <c r="I41" s="980">
        <f>PRODUCT(F41,G41)</f>
        <v>5.61</v>
      </c>
      <c r="J41" s="980">
        <f>MIN(H41:I42)</f>
        <v>5.61</v>
      </c>
      <c r="K41" s="980">
        <f>IF(I41&lt;H41,(H41-I41),"")</f>
        <v>1.19</v>
      </c>
      <c r="L41" s="980">
        <f>IF(H41&lt;I41,(I41-H41),"")</f>
      </c>
      <c r="M41" s="980">
        <f>N39+K41</f>
        <v>2.91</v>
      </c>
      <c r="N41" s="980"/>
    </row>
    <row r="42" spans="1:14" ht="12.75">
      <c r="A42" s="1032"/>
      <c r="B42" s="980">
        <v>52</v>
      </c>
      <c r="C42" s="980">
        <v>0</v>
      </c>
      <c r="D42" s="980">
        <v>0</v>
      </c>
      <c r="E42" s="980"/>
      <c r="F42" s="980"/>
      <c r="G42" s="980"/>
      <c r="H42" s="980"/>
      <c r="I42" s="980"/>
      <c r="J42" s="980"/>
      <c r="K42" s="980"/>
      <c r="L42" s="980"/>
      <c r="M42" s="980"/>
      <c r="N42" s="980"/>
    </row>
    <row r="43" spans="1:14" ht="17.25" customHeight="1">
      <c r="A43" s="1032"/>
      <c r="B43" s="980"/>
      <c r="C43" s="980"/>
      <c r="D43" s="980"/>
      <c r="E43" s="218" t="s">
        <v>34</v>
      </c>
      <c r="F43" s="218" t="s">
        <v>34</v>
      </c>
      <c r="G43" s="218" t="s">
        <v>34</v>
      </c>
      <c r="H43" s="218" t="s">
        <v>34</v>
      </c>
      <c r="I43" s="218" t="s">
        <v>34</v>
      </c>
      <c r="J43" s="218" t="s">
        <v>34</v>
      </c>
      <c r="K43" s="218" t="s">
        <v>34</v>
      </c>
      <c r="L43" s="218" t="s">
        <v>34</v>
      </c>
      <c r="M43" s="218">
        <f>M41</f>
        <v>2.91</v>
      </c>
      <c r="N43" s="218"/>
    </row>
    <row r="44" spans="1:14" ht="12.75" customHeight="1">
      <c r="A44" s="1032"/>
      <c r="B44" s="980" t="s">
        <v>34</v>
      </c>
      <c r="C44" s="980" t="s">
        <v>34</v>
      </c>
      <c r="D44" s="980" t="s">
        <v>34</v>
      </c>
      <c r="E44" s="1020" t="s">
        <v>388</v>
      </c>
      <c r="F44" s="1020"/>
      <c r="G44" s="1020"/>
      <c r="H44" s="1020">
        <f>SUM(H37:H43)</f>
        <v>25.14</v>
      </c>
      <c r="I44" s="1020">
        <f>SUM(I37:I43)</f>
        <v>23.37</v>
      </c>
      <c r="J44" s="1020">
        <f>SUM(J13:J43)</f>
        <v>263.79</v>
      </c>
      <c r="K44" s="1020">
        <f>SUM(K13:K43)</f>
        <v>42.67</v>
      </c>
      <c r="L44" s="1020">
        <f>SUM(L13:L43)</f>
        <v>38.62</v>
      </c>
      <c r="M44" s="1020">
        <f>M43</f>
        <v>2.91</v>
      </c>
      <c r="N44" s="1020"/>
    </row>
    <row r="45" spans="1:14" ht="13.5" customHeight="1">
      <c r="A45" s="1033"/>
      <c r="B45" s="980"/>
      <c r="C45" s="980"/>
      <c r="D45" s="980"/>
      <c r="E45" s="1020"/>
      <c r="F45" s="1020"/>
      <c r="G45" s="1020"/>
      <c r="H45" s="1020"/>
      <c r="I45" s="1020"/>
      <c r="J45" s="1020"/>
      <c r="K45" s="1020"/>
      <c r="L45" s="1020"/>
      <c r="M45" s="1020"/>
      <c r="N45" s="1020"/>
    </row>
    <row r="46" ht="14.25" customHeight="1"/>
    <row r="47" spans="2:16" ht="43.5" customHeight="1">
      <c r="B47" s="1042" t="s">
        <v>489</v>
      </c>
      <c r="C47" s="1043"/>
      <c r="D47" s="1043"/>
      <c r="E47" s="1043"/>
      <c r="F47" s="1043"/>
      <c r="G47" s="1044"/>
      <c r="H47" s="1048" t="s">
        <v>389</v>
      </c>
      <c r="I47" s="1048" t="s">
        <v>390</v>
      </c>
      <c r="J47" s="1050" t="s">
        <v>391</v>
      </c>
      <c r="K47" s="1051"/>
      <c r="P47" s="224"/>
    </row>
    <row r="48" spans="2:16" ht="15.75" customHeight="1">
      <c r="B48" s="1045"/>
      <c r="C48" s="1046"/>
      <c r="D48" s="1046"/>
      <c r="E48" s="1046"/>
      <c r="F48" s="1046"/>
      <c r="G48" s="1047"/>
      <c r="H48" s="1049"/>
      <c r="I48" s="1049"/>
      <c r="J48" s="239" t="s">
        <v>377</v>
      </c>
      <c r="K48" s="239" t="s">
        <v>378</v>
      </c>
      <c r="P48" s="224"/>
    </row>
    <row r="49" spans="2:11" ht="30.75" customHeight="1">
      <c r="B49" s="1034" t="s">
        <v>392</v>
      </c>
      <c r="C49" s="1034"/>
      <c r="D49" s="1034"/>
      <c r="E49" s="1034"/>
      <c r="F49" s="1034"/>
      <c r="G49" s="1034"/>
      <c r="H49" s="1035">
        <f>(3.14*1*1)*1.6+(3.14*1*1)*1.66+(3.14*1*1)*1.67+(3.14*1*1)*1.18</f>
        <v>19.19</v>
      </c>
      <c r="I49" s="1035">
        <f>H49-((3.14*0.6*0.6)*1.6+(3.14*0.6*0.6)*1.66+(3.14*0.6*0.6)*1.67+(3.14*0.6*0.6)*1.18)</f>
        <v>12.28</v>
      </c>
      <c r="J49" s="980">
        <f>IF(I49&lt;H49,(H49-I49),"")</f>
        <v>6.91</v>
      </c>
      <c r="K49" s="1036">
        <f>IF(H49&lt;I49,(H49-I49),"")</f>
      </c>
    </row>
    <row r="50" spans="2:11" ht="24" customHeight="1">
      <c r="B50" s="1034"/>
      <c r="C50" s="1034"/>
      <c r="D50" s="1034"/>
      <c r="E50" s="1034"/>
      <c r="F50" s="1034"/>
      <c r="G50" s="1034"/>
      <c r="H50" s="1035"/>
      <c r="I50" s="1035"/>
      <c r="J50" s="980"/>
      <c r="K50" s="1037"/>
    </row>
    <row r="51" spans="2:11" ht="12.75">
      <c r="B51" s="1034" t="s">
        <v>393</v>
      </c>
      <c r="C51" s="1034"/>
      <c r="D51" s="1034"/>
      <c r="E51" s="1034"/>
      <c r="F51" s="1034"/>
      <c r="G51" s="1034"/>
      <c r="H51" s="1035">
        <f>1.1*(3.14*1.25*1.25)</f>
        <v>5.4</v>
      </c>
      <c r="I51" s="1041">
        <f>H51-(1.1*(3.14*0.75*0.75))</f>
        <v>3.457125</v>
      </c>
      <c r="J51" s="980">
        <f>IF(I51&lt;H51,(H51-I51),"")</f>
        <v>1.94</v>
      </c>
      <c r="K51" s="1036">
        <f>IF(H51&lt;I51,(H51-I51),"")</f>
      </c>
    </row>
    <row r="52" spans="2:11" ht="20.25" customHeight="1">
      <c r="B52" s="1034"/>
      <c r="C52" s="1034"/>
      <c r="D52" s="1034"/>
      <c r="E52" s="1034"/>
      <c r="F52" s="1034"/>
      <c r="G52" s="1034"/>
      <c r="H52" s="1035"/>
      <c r="I52" s="1041"/>
      <c r="J52" s="980"/>
      <c r="K52" s="1037"/>
    </row>
    <row r="53" spans="2:11" ht="16.5" customHeight="1">
      <c r="B53" s="1034" t="s">
        <v>394</v>
      </c>
      <c r="C53" s="1034"/>
      <c r="D53" s="1034"/>
      <c r="E53" s="1034"/>
      <c r="F53" s="1034"/>
      <c r="G53" s="1034"/>
      <c r="H53" s="1041">
        <f>1*0.5*11</f>
        <v>5.5</v>
      </c>
      <c r="I53" s="1035">
        <f>0.8*0.5*11</f>
        <v>4.4</v>
      </c>
      <c r="J53" s="980">
        <f>IF(I53&lt;H53,(H53-I53),"")</f>
        <v>1.1</v>
      </c>
      <c r="K53" s="1036">
        <f>IF(H53&lt;I53,(H53-I53),"")</f>
      </c>
    </row>
    <row r="54" spans="2:11" ht="7.5" customHeight="1">
      <c r="B54" s="1034"/>
      <c r="C54" s="1034"/>
      <c r="D54" s="1034"/>
      <c r="E54" s="1034"/>
      <c r="F54" s="1034"/>
      <c r="G54" s="1034"/>
      <c r="H54" s="1041"/>
      <c r="I54" s="1035"/>
      <c r="J54" s="980"/>
      <c r="K54" s="1037"/>
    </row>
    <row r="55" spans="2:11" ht="12.75">
      <c r="B55" s="1034" t="s">
        <v>395</v>
      </c>
      <c r="C55" s="1034"/>
      <c r="D55" s="1034"/>
      <c r="E55" s="1034"/>
      <c r="F55" s="1034"/>
      <c r="G55" s="1034"/>
      <c r="H55" s="1035">
        <f>1*1*1.7*4</f>
        <v>6.8</v>
      </c>
      <c r="I55" s="1035">
        <f>H55-(0.25*0.25*3.14)*1.7*4</f>
        <v>5.47</v>
      </c>
      <c r="J55" s="980">
        <f>IF(I55&lt;H55,(H55-I55),"")</f>
        <v>1.33</v>
      </c>
      <c r="K55" s="1036">
        <f>IF(H55&lt;I55,(H55-I55),"")</f>
      </c>
    </row>
    <row r="56" spans="2:11" ht="12.75">
      <c r="B56" s="1034"/>
      <c r="C56" s="1034"/>
      <c r="D56" s="1034"/>
      <c r="E56" s="1034"/>
      <c r="F56" s="1034"/>
      <c r="G56" s="1034"/>
      <c r="H56" s="1035"/>
      <c r="I56" s="1035"/>
      <c r="J56" s="980"/>
      <c r="K56" s="1037"/>
    </row>
    <row r="57" spans="9:11" ht="21" customHeight="1">
      <c r="I57" s="242" t="s">
        <v>7</v>
      </c>
      <c r="J57" s="243">
        <f>SUM(J49:J56)</f>
        <v>11.28</v>
      </c>
      <c r="K57" s="243">
        <f>SUM(K49:K56)</f>
        <v>0</v>
      </c>
    </row>
    <row r="60" ht="13.5" thickBot="1"/>
    <row r="61" spans="2:9" ht="15" customHeight="1">
      <c r="B61" s="1038" t="s">
        <v>490</v>
      </c>
      <c r="C61" s="1039"/>
      <c r="D61" s="1039"/>
      <c r="E61" s="1039"/>
      <c r="F61" s="1039"/>
      <c r="G61" s="1039"/>
      <c r="H61" s="1039"/>
      <c r="I61" s="1040"/>
    </row>
    <row r="62" spans="2:9" ht="12.75" customHeight="1">
      <c r="B62" s="1021" t="s">
        <v>396</v>
      </c>
      <c r="C62" s="1022"/>
      <c r="D62" s="1022"/>
      <c r="E62" s="1022"/>
      <c r="F62" s="1022"/>
      <c r="G62" s="1022"/>
      <c r="H62" s="1023">
        <f>H28+J57</f>
        <v>151.94</v>
      </c>
      <c r="I62" s="1024"/>
    </row>
    <row r="63" spans="2:9" ht="12.75">
      <c r="B63" s="1021"/>
      <c r="C63" s="1022"/>
      <c r="D63" s="1022"/>
      <c r="E63" s="1022"/>
      <c r="F63" s="1022"/>
      <c r="G63" s="1022"/>
      <c r="H63" s="1025"/>
      <c r="I63" s="1024"/>
    </row>
    <row r="64" spans="2:9" ht="12.75" customHeight="1">
      <c r="B64" s="1021" t="s">
        <v>397</v>
      </c>
      <c r="C64" s="1022"/>
      <c r="D64" s="1022"/>
      <c r="E64" s="1022"/>
      <c r="F64" s="1022"/>
      <c r="G64" s="1022"/>
      <c r="H64" s="1023">
        <f>I28</f>
        <v>139.52</v>
      </c>
      <c r="I64" s="1024"/>
    </row>
    <row r="65" spans="2:9" ht="12.75">
      <c r="B65" s="1021"/>
      <c r="C65" s="1022"/>
      <c r="D65" s="1022"/>
      <c r="E65" s="1022"/>
      <c r="F65" s="1022"/>
      <c r="G65" s="1022"/>
      <c r="H65" s="1025"/>
      <c r="I65" s="1024"/>
    </row>
    <row r="66" spans="2:9" ht="12.75" customHeight="1">
      <c r="B66" s="1021" t="s">
        <v>398</v>
      </c>
      <c r="C66" s="1022"/>
      <c r="D66" s="1022"/>
      <c r="E66" s="1022"/>
      <c r="F66" s="1022"/>
      <c r="G66" s="1022"/>
      <c r="H66" s="1023">
        <f>H62-H64</f>
        <v>12.42</v>
      </c>
      <c r="I66" s="1024"/>
    </row>
    <row r="67" spans="2:9" ht="18" customHeight="1" thickBot="1">
      <c r="B67" s="1026"/>
      <c r="C67" s="1027"/>
      <c r="D67" s="1027"/>
      <c r="E67" s="1027"/>
      <c r="F67" s="1027"/>
      <c r="G67" s="1027"/>
      <c r="H67" s="1028"/>
      <c r="I67" s="1029"/>
    </row>
    <row r="68" ht="13.5" thickBot="1"/>
    <row r="69" spans="2:9" ht="13.5">
      <c r="B69" s="1038" t="s">
        <v>491</v>
      </c>
      <c r="C69" s="1039"/>
      <c r="D69" s="1039"/>
      <c r="E69" s="1039"/>
      <c r="F69" s="1039"/>
      <c r="G69" s="1039"/>
      <c r="H69" s="1039"/>
      <c r="I69" s="1040"/>
    </row>
    <row r="70" spans="2:9" ht="12.75">
      <c r="B70" s="1021" t="s">
        <v>396</v>
      </c>
      <c r="C70" s="1022"/>
      <c r="D70" s="1022"/>
      <c r="E70" s="1022"/>
      <c r="F70" s="1022"/>
      <c r="G70" s="1022"/>
      <c r="H70" s="1023">
        <f>H44</f>
        <v>25.14</v>
      </c>
      <c r="I70" s="1024"/>
    </row>
    <row r="71" spans="2:9" ht="12.75">
      <c r="B71" s="1021"/>
      <c r="C71" s="1022"/>
      <c r="D71" s="1022"/>
      <c r="E71" s="1022"/>
      <c r="F71" s="1022"/>
      <c r="G71" s="1022"/>
      <c r="H71" s="1025"/>
      <c r="I71" s="1024"/>
    </row>
    <row r="72" spans="2:9" ht="12.75">
      <c r="B72" s="1021" t="s">
        <v>397</v>
      </c>
      <c r="C72" s="1022"/>
      <c r="D72" s="1022"/>
      <c r="E72" s="1022"/>
      <c r="F72" s="1022"/>
      <c r="G72" s="1022"/>
      <c r="H72" s="1023">
        <f>I44</f>
        <v>23.37</v>
      </c>
      <c r="I72" s="1024"/>
    </row>
    <row r="73" spans="2:9" ht="12.75">
      <c r="B73" s="1021"/>
      <c r="C73" s="1022"/>
      <c r="D73" s="1022"/>
      <c r="E73" s="1022"/>
      <c r="F73" s="1022"/>
      <c r="G73" s="1022"/>
      <c r="H73" s="1025"/>
      <c r="I73" s="1024"/>
    </row>
    <row r="74" spans="2:9" ht="12.75">
      <c r="B74" s="1021" t="s">
        <v>398</v>
      </c>
      <c r="C74" s="1022"/>
      <c r="D74" s="1022"/>
      <c r="E74" s="1022"/>
      <c r="F74" s="1022"/>
      <c r="G74" s="1022"/>
      <c r="H74" s="1023">
        <f>H70-H72</f>
        <v>1.77</v>
      </c>
      <c r="I74" s="1024"/>
    </row>
    <row r="75" spans="2:9" ht="13.5" thickBot="1">
      <c r="B75" s="1026"/>
      <c r="C75" s="1027"/>
      <c r="D75" s="1027"/>
      <c r="E75" s="1027"/>
      <c r="F75" s="1027"/>
      <c r="G75" s="1027"/>
      <c r="H75" s="1028"/>
      <c r="I75" s="1029"/>
    </row>
  </sheetData>
  <sheetProtection/>
  <mergeCells count="231">
    <mergeCell ref="M1:N2"/>
    <mergeCell ref="A3:N3"/>
    <mergeCell ref="A4:N5"/>
    <mergeCell ref="A7:N7"/>
    <mergeCell ref="A8:A11"/>
    <mergeCell ref="B8:B11"/>
    <mergeCell ref="C8:D9"/>
    <mergeCell ref="E8:F9"/>
    <mergeCell ref="G8:G11"/>
    <mergeCell ref="H8:I9"/>
    <mergeCell ref="J8:J11"/>
    <mergeCell ref="K8:L9"/>
    <mergeCell ref="M8:N9"/>
    <mergeCell ref="C11:D11"/>
    <mergeCell ref="E11:F11"/>
    <mergeCell ref="H11:I11"/>
    <mergeCell ref="K11:L11"/>
    <mergeCell ref="M11:N11"/>
    <mergeCell ref="B12:B13"/>
    <mergeCell ref="C12:C13"/>
    <mergeCell ref="D12:D13"/>
    <mergeCell ref="E13:E14"/>
    <mergeCell ref="F13:F14"/>
    <mergeCell ref="D24:D25"/>
    <mergeCell ref="E25:E26"/>
    <mergeCell ref="F25:F26"/>
    <mergeCell ref="B22:B23"/>
    <mergeCell ref="B26:B27"/>
    <mergeCell ref="E17:E18"/>
    <mergeCell ref="F17:F18"/>
    <mergeCell ref="B24:B25"/>
    <mergeCell ref="G13:G14"/>
    <mergeCell ref="H13:H14"/>
    <mergeCell ref="I13:I14"/>
    <mergeCell ref="J13:J14"/>
    <mergeCell ref="K13:K14"/>
    <mergeCell ref="L13:L14"/>
    <mergeCell ref="M13:M14"/>
    <mergeCell ref="N13:N14"/>
    <mergeCell ref="B14:B15"/>
    <mergeCell ref="C14:C15"/>
    <mergeCell ref="D14:D15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B16:B17"/>
    <mergeCell ref="C16:C17"/>
    <mergeCell ref="D16:D17"/>
    <mergeCell ref="G17:G18"/>
    <mergeCell ref="H17:H18"/>
    <mergeCell ref="I17:I18"/>
    <mergeCell ref="J17:J18"/>
    <mergeCell ref="K17:K18"/>
    <mergeCell ref="L17:L18"/>
    <mergeCell ref="M17:M18"/>
    <mergeCell ref="N17:N18"/>
    <mergeCell ref="B18:B19"/>
    <mergeCell ref="C18:C19"/>
    <mergeCell ref="D18:D19"/>
    <mergeCell ref="E19:E20"/>
    <mergeCell ref="F19:F20"/>
    <mergeCell ref="G19:G20"/>
    <mergeCell ref="H19:H20"/>
    <mergeCell ref="I19:I20"/>
    <mergeCell ref="N19:N20"/>
    <mergeCell ref="B20:B21"/>
    <mergeCell ref="C20:C21"/>
    <mergeCell ref="D20:D21"/>
    <mergeCell ref="E21:E22"/>
    <mergeCell ref="F21:F22"/>
    <mergeCell ref="I21:I22"/>
    <mergeCell ref="J21:J22"/>
    <mergeCell ref="J19:J20"/>
    <mergeCell ref="K19:K20"/>
    <mergeCell ref="L19:L20"/>
    <mergeCell ref="M19:M20"/>
    <mergeCell ref="C22:C23"/>
    <mergeCell ref="D22:D23"/>
    <mergeCell ref="E23:E24"/>
    <mergeCell ref="F23:F24"/>
    <mergeCell ref="G23:G24"/>
    <mergeCell ref="K23:K24"/>
    <mergeCell ref="H23:H24"/>
    <mergeCell ref="I23:I24"/>
    <mergeCell ref="G21:G22"/>
    <mergeCell ref="H21:H22"/>
    <mergeCell ref="M23:M24"/>
    <mergeCell ref="M25:M26"/>
    <mergeCell ref="M21:M22"/>
    <mergeCell ref="N21:N22"/>
    <mergeCell ref="K21:K22"/>
    <mergeCell ref="L21:L22"/>
    <mergeCell ref="N25:N26"/>
    <mergeCell ref="C26:C27"/>
    <mergeCell ref="D26:D27"/>
    <mergeCell ref="N23:N24"/>
    <mergeCell ref="C24:C25"/>
    <mergeCell ref="K25:K26"/>
    <mergeCell ref="L25:L26"/>
    <mergeCell ref="J23:J24"/>
    <mergeCell ref="L23:L24"/>
    <mergeCell ref="A31:N31"/>
    <mergeCell ref="G25:G26"/>
    <mergeCell ref="H25:H26"/>
    <mergeCell ref="I25:I26"/>
    <mergeCell ref="J25:J26"/>
    <mergeCell ref="A32:A35"/>
    <mergeCell ref="B32:B35"/>
    <mergeCell ref="C32:D33"/>
    <mergeCell ref="E32:F33"/>
    <mergeCell ref="G32:G35"/>
    <mergeCell ref="H32:I33"/>
    <mergeCell ref="J32:J35"/>
    <mergeCell ref="K32:L33"/>
    <mergeCell ref="M32:N33"/>
    <mergeCell ref="C35:D35"/>
    <mergeCell ref="E35:F35"/>
    <mergeCell ref="H35:I35"/>
    <mergeCell ref="K35:L35"/>
    <mergeCell ref="M35:N35"/>
    <mergeCell ref="M28:M29"/>
    <mergeCell ref="D28:D29"/>
    <mergeCell ref="E28:G29"/>
    <mergeCell ref="B28:B29"/>
    <mergeCell ref="C28:C29"/>
    <mergeCell ref="A36:A45"/>
    <mergeCell ref="B36:B37"/>
    <mergeCell ref="C36:C37"/>
    <mergeCell ref="D36:D37"/>
    <mergeCell ref="E37:E38"/>
    <mergeCell ref="F37:F38"/>
    <mergeCell ref="G37:G38"/>
    <mergeCell ref="H37:H38"/>
    <mergeCell ref="I37:I38"/>
    <mergeCell ref="H41:H42"/>
    <mergeCell ref="I41:I42"/>
    <mergeCell ref="J37:J38"/>
    <mergeCell ref="K37:K38"/>
    <mergeCell ref="L37:L38"/>
    <mergeCell ref="M37:M38"/>
    <mergeCell ref="N37:N38"/>
    <mergeCell ref="B38:B39"/>
    <mergeCell ref="C38:C39"/>
    <mergeCell ref="D38:D39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B40:B41"/>
    <mergeCell ref="C40:C41"/>
    <mergeCell ref="D40:D41"/>
    <mergeCell ref="E41:E42"/>
    <mergeCell ref="F41:F42"/>
    <mergeCell ref="G41:G42"/>
    <mergeCell ref="J41:J42"/>
    <mergeCell ref="K41:K42"/>
    <mergeCell ref="L41:L42"/>
    <mergeCell ref="M41:M42"/>
    <mergeCell ref="N41:N42"/>
    <mergeCell ref="B42:B43"/>
    <mergeCell ref="C42:C43"/>
    <mergeCell ref="D42:D43"/>
    <mergeCell ref="B44:B45"/>
    <mergeCell ref="C44:C45"/>
    <mergeCell ref="D44:D45"/>
    <mergeCell ref="E44:G45"/>
    <mergeCell ref="H44:H45"/>
    <mergeCell ref="I44:I45"/>
    <mergeCell ref="J44:J45"/>
    <mergeCell ref="K44:K45"/>
    <mergeCell ref="L44:L45"/>
    <mergeCell ref="M44:M45"/>
    <mergeCell ref="N44:N45"/>
    <mergeCell ref="B47:G48"/>
    <mergeCell ref="H47:H48"/>
    <mergeCell ref="I47:I48"/>
    <mergeCell ref="J47:K47"/>
    <mergeCell ref="B49:G50"/>
    <mergeCell ref="H49:H50"/>
    <mergeCell ref="I49:I50"/>
    <mergeCell ref="J49:J50"/>
    <mergeCell ref="K49:K50"/>
    <mergeCell ref="B66:G67"/>
    <mergeCell ref="H66:I67"/>
    <mergeCell ref="B51:G52"/>
    <mergeCell ref="H51:H52"/>
    <mergeCell ref="I51:I52"/>
    <mergeCell ref="J51:J52"/>
    <mergeCell ref="K51:K52"/>
    <mergeCell ref="B53:G54"/>
    <mergeCell ref="H53:H54"/>
    <mergeCell ref="I53:I54"/>
    <mergeCell ref="J53:J54"/>
    <mergeCell ref="K53:K54"/>
    <mergeCell ref="H28:H29"/>
    <mergeCell ref="B72:G73"/>
    <mergeCell ref="H72:I73"/>
    <mergeCell ref="B74:G75"/>
    <mergeCell ref="H74:I75"/>
    <mergeCell ref="N28:N29"/>
    <mergeCell ref="A12:A29"/>
    <mergeCell ref="I28:I29"/>
    <mergeCell ref="J28:J29"/>
    <mergeCell ref="K28:K29"/>
    <mergeCell ref="L28:L29"/>
    <mergeCell ref="B55:G56"/>
    <mergeCell ref="H55:H56"/>
    <mergeCell ref="I55:I56"/>
    <mergeCell ref="J55:J56"/>
    <mergeCell ref="K55:K56"/>
    <mergeCell ref="B61:I61"/>
    <mergeCell ref="B69:I69"/>
    <mergeCell ref="B70:G71"/>
    <mergeCell ref="H70:I71"/>
    <mergeCell ref="B62:G63"/>
    <mergeCell ref="H62:I63"/>
    <mergeCell ref="B64:G65"/>
    <mergeCell ref="H64:I65"/>
  </mergeCells>
  <printOptions horizontalCentered="1"/>
  <pageMargins left="0.7480314960629921" right="0.7480314960629921" top="0.984251968503937" bottom="0.984251968503937" header="0.5118110236220472" footer="0.5118110236220472"/>
  <pageSetup fitToWidth="0" fitToHeight="1" orientation="portrait" paperSize="8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54"/>
  <sheetViews>
    <sheetView view="pageBreakPreview" zoomScale="115" zoomScaleSheetLayoutView="115" zoomScalePageLayoutView="0" workbookViewId="0" topLeftCell="A1">
      <selection activeCell="V104" sqref="V104"/>
    </sheetView>
  </sheetViews>
  <sheetFormatPr defaultColWidth="9.00390625" defaultRowHeight="12.75"/>
  <cols>
    <col min="4" max="4" width="11.50390625" style="0" customWidth="1"/>
    <col min="5" max="6" width="10.50390625" style="0" customWidth="1"/>
  </cols>
  <sheetData>
    <row r="1" spans="5:7" ht="18.75" customHeight="1">
      <c r="E1" s="1058" t="s">
        <v>399</v>
      </c>
      <c r="F1" s="1058"/>
      <c r="G1" s="1058"/>
    </row>
    <row r="2" spans="8:9" ht="12.75">
      <c r="H2" s="1059"/>
      <c r="I2" s="1059"/>
    </row>
    <row r="3" spans="1:9" ht="12.75" customHeight="1">
      <c r="A3" s="1060" t="s">
        <v>400</v>
      </c>
      <c r="B3" s="1060"/>
      <c r="C3" s="1060"/>
      <c r="D3" s="1060"/>
      <c r="E3" s="1060"/>
      <c r="F3" s="1060"/>
      <c r="G3" s="244"/>
      <c r="H3" s="244"/>
      <c r="I3" s="244"/>
    </row>
    <row r="4" spans="1:9" ht="12.75" customHeight="1">
      <c r="A4" s="1060"/>
      <c r="B4" s="1060"/>
      <c r="C4" s="1060"/>
      <c r="D4" s="1060"/>
      <c r="E4" s="1060"/>
      <c r="F4" s="1060"/>
      <c r="G4" s="244"/>
      <c r="H4" s="244"/>
      <c r="I4" s="244"/>
    </row>
    <row r="5" spans="1:9" ht="12.75" customHeight="1">
      <c r="A5" s="990" t="s">
        <v>447</v>
      </c>
      <c r="B5" s="990"/>
      <c r="C5" s="990"/>
      <c r="D5" s="990"/>
      <c r="E5" s="990"/>
      <c r="F5" s="990"/>
      <c r="G5" s="244"/>
      <c r="H5" s="244"/>
      <c r="I5" s="244"/>
    </row>
    <row r="6" spans="1:9" ht="69.75" customHeight="1">
      <c r="A6" s="990"/>
      <c r="B6" s="990"/>
      <c r="C6" s="990"/>
      <c r="D6" s="990"/>
      <c r="E6" s="990"/>
      <c r="F6" s="990"/>
      <c r="G6" s="216"/>
      <c r="H6" s="216"/>
      <c r="I6" s="216"/>
    </row>
    <row r="7" spans="1:6" ht="12.75" customHeight="1">
      <c r="A7" s="991" t="s">
        <v>344</v>
      </c>
      <c r="B7" s="992"/>
      <c r="C7" s="992"/>
      <c r="D7" s="992"/>
      <c r="E7" s="992"/>
      <c r="F7" s="993"/>
    </row>
    <row r="8" spans="1:6" ht="12.75" customHeight="1">
      <c r="A8" s="994" t="s">
        <v>345</v>
      </c>
      <c r="B8" s="994" t="s">
        <v>346</v>
      </c>
      <c r="C8" s="994" t="s">
        <v>347</v>
      </c>
      <c r="D8" s="996" t="s">
        <v>401</v>
      </c>
      <c r="E8" s="996"/>
      <c r="F8" s="996"/>
    </row>
    <row r="9" spans="1:6" ht="12.75">
      <c r="A9" s="995"/>
      <c r="B9" s="995"/>
      <c r="C9" s="994"/>
      <c r="D9" s="994" t="s">
        <v>349</v>
      </c>
      <c r="E9" s="994" t="s">
        <v>350</v>
      </c>
      <c r="F9" s="994" t="s">
        <v>351</v>
      </c>
    </row>
    <row r="10" spans="1:6" ht="12.75">
      <c r="A10" s="995"/>
      <c r="B10" s="995"/>
      <c r="C10" s="994"/>
      <c r="D10" s="994"/>
      <c r="E10" s="994"/>
      <c r="F10" s="994"/>
    </row>
    <row r="11" spans="1:7" ht="12" customHeight="1">
      <c r="A11" s="995"/>
      <c r="B11" s="995"/>
      <c r="C11" s="994"/>
      <c r="D11" s="994"/>
      <c r="E11" s="994"/>
      <c r="F11" s="994"/>
      <c r="G11" s="1056"/>
    </row>
    <row r="12" spans="1:7" ht="12" customHeight="1">
      <c r="A12" s="982">
        <v>13</v>
      </c>
      <c r="B12" s="980">
        <v>780</v>
      </c>
      <c r="C12" s="218" t="s">
        <v>34</v>
      </c>
      <c r="D12" s="978">
        <v>0</v>
      </c>
      <c r="E12" s="219" t="s">
        <v>34</v>
      </c>
      <c r="F12" s="219" t="s">
        <v>34</v>
      </c>
      <c r="G12" s="1056"/>
    </row>
    <row r="13" spans="1:7" ht="12" customHeight="1">
      <c r="A13" s="982"/>
      <c r="B13" s="980"/>
      <c r="C13" s="980">
        <f>B14-B12</f>
        <v>2.4</v>
      </c>
      <c r="D13" s="978"/>
      <c r="E13" s="978">
        <f>SUM(0.5*D12,0.5*D14)</f>
        <v>0.65</v>
      </c>
      <c r="F13" s="978">
        <f>PRODUCT(C13,E13)</f>
        <v>1.56</v>
      </c>
      <c r="G13" s="1056"/>
    </row>
    <row r="14" spans="1:7" ht="12" customHeight="1">
      <c r="A14" s="982"/>
      <c r="B14" s="980">
        <v>782.4</v>
      </c>
      <c r="C14" s="980"/>
      <c r="D14" s="981">
        <v>1.3</v>
      </c>
      <c r="E14" s="978"/>
      <c r="F14" s="978"/>
      <c r="G14" s="1056"/>
    </row>
    <row r="15" spans="1:7" ht="12" customHeight="1">
      <c r="A15" s="982"/>
      <c r="B15" s="980"/>
      <c r="C15" s="980">
        <f>B16-B14</f>
        <v>28.9</v>
      </c>
      <c r="D15" s="1004"/>
      <c r="E15" s="978">
        <f>SUM(0.5*D14,0.5*D16)</f>
        <v>1.45</v>
      </c>
      <c r="F15" s="978">
        <f>PRODUCT(C15,E15)</f>
        <v>41.91</v>
      </c>
      <c r="G15" s="1056"/>
    </row>
    <row r="16" spans="1:7" ht="12" customHeight="1">
      <c r="A16" s="982"/>
      <c r="B16" s="980">
        <v>811.3</v>
      </c>
      <c r="C16" s="980"/>
      <c r="D16" s="978">
        <v>1.6</v>
      </c>
      <c r="E16" s="978"/>
      <c r="F16" s="978"/>
      <c r="G16" s="1056"/>
    </row>
    <row r="17" spans="1:7" ht="12" customHeight="1">
      <c r="A17" s="982"/>
      <c r="B17" s="980"/>
      <c r="C17" s="980">
        <f>B18-B16</f>
        <v>18.7</v>
      </c>
      <c r="D17" s="978"/>
      <c r="E17" s="978">
        <f>SUM(0.5*D16,0.5*D18)</f>
        <v>1.6</v>
      </c>
      <c r="F17" s="978">
        <f>PRODUCT(C17,E17)</f>
        <v>29.92</v>
      </c>
      <c r="G17" s="1056"/>
    </row>
    <row r="18" spans="1:7" ht="12" customHeight="1">
      <c r="A18" s="982"/>
      <c r="B18" s="980">
        <v>830</v>
      </c>
      <c r="C18" s="980"/>
      <c r="D18" s="978">
        <v>1.6</v>
      </c>
      <c r="E18" s="978"/>
      <c r="F18" s="978"/>
      <c r="G18" s="1056"/>
    </row>
    <row r="19" spans="1:7" ht="12" customHeight="1">
      <c r="A19" s="982"/>
      <c r="B19" s="980"/>
      <c r="C19" s="980">
        <f>B20-B18</f>
        <v>31.6</v>
      </c>
      <c r="D19" s="978"/>
      <c r="E19" s="978">
        <f>SUM(0.5*D18,0.5*D20)</f>
        <v>1.6</v>
      </c>
      <c r="F19" s="978">
        <f>PRODUCT(C19,E19)</f>
        <v>50.56</v>
      </c>
      <c r="G19" s="1056"/>
    </row>
    <row r="20" spans="1:7" ht="12" customHeight="1">
      <c r="A20" s="982"/>
      <c r="B20" s="980">
        <v>861.6</v>
      </c>
      <c r="C20" s="980"/>
      <c r="D20" s="978">
        <v>1.6</v>
      </c>
      <c r="E20" s="978"/>
      <c r="F20" s="978"/>
      <c r="G20" s="1056"/>
    </row>
    <row r="21" spans="1:7" ht="12" customHeight="1">
      <c r="A21" s="982"/>
      <c r="B21" s="980"/>
      <c r="C21" s="980">
        <f>B22-B20</f>
        <v>18.4</v>
      </c>
      <c r="D21" s="978"/>
      <c r="E21" s="978">
        <f>SUM(0.5*D20,0.5*D22)</f>
        <v>1.6</v>
      </c>
      <c r="F21" s="978">
        <f>PRODUCT(C21,E21)</f>
        <v>29.44</v>
      </c>
      <c r="G21" s="1056"/>
    </row>
    <row r="22" spans="1:7" ht="12" customHeight="1">
      <c r="A22" s="982"/>
      <c r="B22" s="980">
        <v>880</v>
      </c>
      <c r="C22" s="980"/>
      <c r="D22" s="978">
        <v>1.6</v>
      </c>
      <c r="E22" s="978"/>
      <c r="F22" s="978"/>
      <c r="G22" s="1056"/>
    </row>
    <row r="23" spans="1:7" ht="12" customHeight="1">
      <c r="A23" s="982"/>
      <c r="B23" s="980"/>
      <c r="C23" s="980">
        <f>B24-B22</f>
        <v>23.7</v>
      </c>
      <c r="D23" s="978"/>
      <c r="E23" s="978">
        <f>SUM(0.5*D22,0.5*D24)</f>
        <v>1.6</v>
      </c>
      <c r="F23" s="978">
        <f>PRODUCT(C23,E23)</f>
        <v>37.92</v>
      </c>
      <c r="G23" s="1056"/>
    </row>
    <row r="24" spans="1:7" ht="12" customHeight="1">
      <c r="A24" s="982"/>
      <c r="B24" s="980">
        <v>903.7</v>
      </c>
      <c r="C24" s="980"/>
      <c r="D24" s="978">
        <v>1.6</v>
      </c>
      <c r="E24" s="978"/>
      <c r="F24" s="978"/>
      <c r="G24" s="1056"/>
    </row>
    <row r="25" spans="1:7" ht="12" customHeight="1">
      <c r="A25" s="982"/>
      <c r="B25" s="980"/>
      <c r="C25" s="980">
        <f>B26-B24</f>
        <v>34.3</v>
      </c>
      <c r="D25" s="978"/>
      <c r="E25" s="978">
        <f>SUM(0.5*D24,0.5*D26)</f>
        <v>2.4</v>
      </c>
      <c r="F25" s="978">
        <f>PRODUCT(C25,E25)</f>
        <v>82.32</v>
      </c>
      <c r="G25" s="1056"/>
    </row>
    <row r="26" spans="1:7" ht="12" customHeight="1">
      <c r="A26" s="982"/>
      <c r="B26" s="980">
        <v>938</v>
      </c>
      <c r="C26" s="980"/>
      <c r="D26" s="978">
        <v>3.2</v>
      </c>
      <c r="E26" s="978"/>
      <c r="F26" s="978"/>
      <c r="G26" s="1056"/>
    </row>
    <row r="27" spans="1:7" ht="12" customHeight="1">
      <c r="A27" s="982"/>
      <c r="B27" s="980"/>
      <c r="C27" s="218" t="s">
        <v>34</v>
      </c>
      <c r="D27" s="981"/>
      <c r="E27" s="282" t="s">
        <v>34</v>
      </c>
      <c r="F27" s="282" t="s">
        <v>34</v>
      </c>
      <c r="G27" s="1056"/>
    </row>
    <row r="28" spans="1:7" ht="12" customHeight="1">
      <c r="A28" s="287"/>
      <c r="B28" s="289"/>
      <c r="C28" s="289"/>
      <c r="D28" s="983" t="s">
        <v>353</v>
      </c>
      <c r="E28" s="983"/>
      <c r="F28" s="984">
        <f>SUM(F13:F26)</f>
        <v>273.63</v>
      </c>
      <c r="G28" s="1057"/>
    </row>
    <row r="29" spans="1:7" ht="12" customHeight="1">
      <c r="A29" s="290"/>
      <c r="B29" s="292"/>
      <c r="C29" s="292"/>
      <c r="D29" s="983"/>
      <c r="E29" s="983"/>
      <c r="F29" s="984"/>
      <c r="G29" s="1057"/>
    </row>
    <row r="30" spans="1:7" ht="12" customHeight="1">
      <c r="A30" s="290"/>
      <c r="B30" s="292"/>
      <c r="C30" s="292"/>
      <c r="D30" s="983" t="s">
        <v>354</v>
      </c>
      <c r="E30" s="983"/>
      <c r="F30" s="984">
        <f>-(6.5*0.8+4.5*0.8+12.5*0.8)</f>
        <v>-18.8</v>
      </c>
      <c r="G30" s="1057"/>
    </row>
    <row r="31" spans="1:7" ht="12" customHeight="1">
      <c r="A31" s="290"/>
      <c r="B31" s="292"/>
      <c r="C31" s="292"/>
      <c r="D31" s="983"/>
      <c r="E31" s="983"/>
      <c r="F31" s="984"/>
      <c r="G31" s="1057"/>
    </row>
    <row r="32" spans="1:7" ht="12" customHeight="1">
      <c r="A32" s="290"/>
      <c r="B32" s="292"/>
      <c r="C32" s="292"/>
      <c r="D32" s="983" t="s">
        <v>481</v>
      </c>
      <c r="E32" s="983"/>
      <c r="F32" s="984">
        <f>F28+F30</f>
        <v>254.83</v>
      </c>
      <c r="G32" s="1057"/>
    </row>
    <row r="33" spans="1:7" ht="12" customHeight="1">
      <c r="A33" s="290"/>
      <c r="B33" s="292"/>
      <c r="C33" s="292"/>
      <c r="D33" s="983"/>
      <c r="E33" s="983"/>
      <c r="F33" s="984"/>
      <c r="G33" s="1057"/>
    </row>
    <row r="34" spans="1:7" ht="12" customHeight="1">
      <c r="A34" s="290"/>
      <c r="B34" s="292"/>
      <c r="C34" s="292"/>
      <c r="D34" s="293"/>
      <c r="E34" s="293"/>
      <c r="F34" s="293"/>
      <c r="G34" s="1057"/>
    </row>
    <row r="35" spans="1:7" ht="12" customHeight="1">
      <c r="A35" s="299"/>
      <c r="B35" s="300"/>
      <c r="C35" s="300"/>
      <c r="D35" s="301"/>
      <c r="E35" s="301"/>
      <c r="F35" s="301"/>
      <c r="G35" s="1057"/>
    </row>
    <row r="36" spans="1:7" ht="12" customHeight="1">
      <c r="A36" s="991" t="s">
        <v>352</v>
      </c>
      <c r="B36" s="992"/>
      <c r="C36" s="992"/>
      <c r="D36" s="992"/>
      <c r="E36" s="992"/>
      <c r="F36" s="993"/>
      <c r="G36" s="1056"/>
    </row>
    <row r="37" spans="1:10" ht="12" customHeight="1">
      <c r="A37" s="994" t="s">
        <v>345</v>
      </c>
      <c r="B37" s="994" t="s">
        <v>346</v>
      </c>
      <c r="C37" s="994" t="s">
        <v>347</v>
      </c>
      <c r="D37" s="996" t="s">
        <v>401</v>
      </c>
      <c r="E37" s="996"/>
      <c r="F37" s="996"/>
      <c r="J37" s="224"/>
    </row>
    <row r="38" spans="1:10" ht="12" customHeight="1">
      <c r="A38" s="995"/>
      <c r="B38" s="995"/>
      <c r="C38" s="994"/>
      <c r="D38" s="994" t="s">
        <v>349</v>
      </c>
      <c r="E38" s="994" t="s">
        <v>350</v>
      </c>
      <c r="F38" s="994" t="s">
        <v>351</v>
      </c>
      <c r="J38" s="224"/>
    </row>
    <row r="39" spans="1:8" ht="12" customHeight="1">
      <c r="A39" s="995"/>
      <c r="B39" s="995"/>
      <c r="C39" s="994"/>
      <c r="D39" s="994"/>
      <c r="E39" s="994"/>
      <c r="F39" s="994"/>
      <c r="H39" s="224"/>
    </row>
    <row r="40" spans="1:6" ht="12" customHeight="1">
      <c r="A40" s="995"/>
      <c r="B40" s="995"/>
      <c r="C40" s="994"/>
      <c r="D40" s="994"/>
      <c r="E40" s="994"/>
      <c r="F40" s="994"/>
    </row>
    <row r="41" spans="1:6" ht="12.75">
      <c r="A41" s="982">
        <v>0</v>
      </c>
      <c r="B41" s="1003">
        <v>12</v>
      </c>
      <c r="C41" s="220" t="s">
        <v>34</v>
      </c>
      <c r="D41" s="1004">
        <v>2.2</v>
      </c>
      <c r="E41" s="221" t="s">
        <v>34</v>
      </c>
      <c r="F41" s="221" t="s">
        <v>34</v>
      </c>
    </row>
    <row r="42" spans="1:6" ht="12.75">
      <c r="A42" s="982"/>
      <c r="B42" s="980"/>
      <c r="C42" s="980">
        <f>B43-B41</f>
        <v>5.7</v>
      </c>
      <c r="D42" s="981"/>
      <c r="E42" s="978">
        <f>SUM(0.5*D41,0.5*D43)</f>
        <v>1.65</v>
      </c>
      <c r="F42" s="978">
        <f>PRODUCT(C42,E42)</f>
        <v>9.41</v>
      </c>
    </row>
    <row r="43" spans="1:6" ht="12.75">
      <c r="A43" s="982"/>
      <c r="B43" s="980">
        <v>17.7</v>
      </c>
      <c r="C43" s="980"/>
      <c r="D43" s="978">
        <v>1.1</v>
      </c>
      <c r="E43" s="978"/>
      <c r="F43" s="978"/>
    </row>
    <row r="44" spans="1:6" ht="12.75">
      <c r="A44" s="982"/>
      <c r="B44" s="980"/>
      <c r="C44" s="985">
        <f>B45-B43</f>
        <v>17.3</v>
      </c>
      <c r="D44" s="981"/>
      <c r="E44" s="978">
        <f>SUM(0.5*D43,0.5*D45)</f>
        <v>1.1</v>
      </c>
      <c r="F44" s="978">
        <f>PRODUCT(C44,E44)</f>
        <v>19.03</v>
      </c>
    </row>
    <row r="45" spans="1:6" ht="12.75">
      <c r="A45" s="982"/>
      <c r="B45" s="980">
        <v>35</v>
      </c>
      <c r="C45" s="986"/>
      <c r="D45" s="978">
        <v>1.1</v>
      </c>
      <c r="E45" s="978"/>
      <c r="F45" s="978"/>
    </row>
    <row r="46" spans="1:6" ht="12.75">
      <c r="A46" s="982"/>
      <c r="B46" s="980"/>
      <c r="C46" s="985">
        <f>B47-B45</f>
        <v>17</v>
      </c>
      <c r="D46" s="981"/>
      <c r="E46" s="978">
        <f>SUM(0.5*D45,0.5*D47)</f>
        <v>0.55</v>
      </c>
      <c r="F46" s="978">
        <f>PRODUCT(C46,E46)</f>
        <v>9.35</v>
      </c>
    </row>
    <row r="47" spans="1:6" ht="12.75">
      <c r="A47" s="982"/>
      <c r="B47" s="980">
        <v>52</v>
      </c>
      <c r="C47" s="986"/>
      <c r="D47" s="978">
        <v>0</v>
      </c>
      <c r="E47" s="978"/>
      <c r="F47" s="978"/>
    </row>
    <row r="48" spans="1:6" ht="12.75">
      <c r="A48" s="982"/>
      <c r="B48" s="980"/>
      <c r="C48" s="218" t="s">
        <v>34</v>
      </c>
      <c r="D48" s="981"/>
      <c r="E48" s="282" t="s">
        <v>34</v>
      </c>
      <c r="F48" s="282" t="s">
        <v>34</v>
      </c>
    </row>
    <row r="49" spans="4:6" ht="12.75">
      <c r="D49" s="983" t="s">
        <v>353</v>
      </c>
      <c r="E49" s="983"/>
      <c r="F49" s="984">
        <f>SUM(F42:F48)</f>
        <v>37.79</v>
      </c>
    </row>
    <row r="50" spans="3:6" ht="13.5" customHeight="1">
      <c r="C50" s="214"/>
      <c r="D50" s="983"/>
      <c r="E50" s="983"/>
      <c r="F50" s="984"/>
    </row>
    <row r="51" spans="4:6" ht="12.75">
      <c r="D51" s="983" t="s">
        <v>354</v>
      </c>
      <c r="E51" s="983"/>
      <c r="F51" s="984">
        <f>-(10.5*0.8+8*0.8)</f>
        <v>-14.8</v>
      </c>
    </row>
    <row r="52" spans="4:6" ht="12.75">
      <c r="D52" s="983"/>
      <c r="E52" s="983"/>
      <c r="F52" s="984"/>
    </row>
    <row r="53" spans="4:6" ht="12.75">
      <c r="D53" s="983" t="s">
        <v>482</v>
      </c>
      <c r="E53" s="983"/>
      <c r="F53" s="984">
        <f>F49+F51</f>
        <v>22.99</v>
      </c>
    </row>
    <row r="54" spans="4:6" ht="12.75">
      <c r="D54" s="983"/>
      <c r="E54" s="983"/>
      <c r="F54" s="984"/>
    </row>
  </sheetData>
  <sheetProtection/>
  <mergeCells count="97">
    <mergeCell ref="E1:G1"/>
    <mergeCell ref="H2:I2"/>
    <mergeCell ref="A3:F4"/>
    <mergeCell ref="A5:F6"/>
    <mergeCell ref="A7:F7"/>
    <mergeCell ref="A8:A11"/>
    <mergeCell ref="B8:B11"/>
    <mergeCell ref="C8:C11"/>
    <mergeCell ref="D8:F8"/>
    <mergeCell ref="D9:D11"/>
    <mergeCell ref="E9:E11"/>
    <mergeCell ref="F9:F11"/>
    <mergeCell ref="G11:G12"/>
    <mergeCell ref="A12:A27"/>
    <mergeCell ref="B12:B13"/>
    <mergeCell ref="D12:D13"/>
    <mergeCell ref="C13:C14"/>
    <mergeCell ref="E13:E14"/>
    <mergeCell ref="F13:F14"/>
    <mergeCell ref="G13:G14"/>
    <mergeCell ref="B14:B15"/>
    <mergeCell ref="D14:D15"/>
    <mergeCell ref="C15:C16"/>
    <mergeCell ref="E15:E16"/>
    <mergeCell ref="F15:F16"/>
    <mergeCell ref="G15:G16"/>
    <mergeCell ref="B16:B17"/>
    <mergeCell ref="D16:D17"/>
    <mergeCell ref="C17:C18"/>
    <mergeCell ref="E17:E18"/>
    <mergeCell ref="F17:F18"/>
    <mergeCell ref="G17:G18"/>
    <mergeCell ref="B18:B19"/>
    <mergeCell ref="D18:D19"/>
    <mergeCell ref="C19:C20"/>
    <mergeCell ref="E19:E20"/>
    <mergeCell ref="F19:F20"/>
    <mergeCell ref="G19:G20"/>
    <mergeCell ref="B20:B21"/>
    <mergeCell ref="D20:D21"/>
    <mergeCell ref="C21:C22"/>
    <mergeCell ref="E21:E22"/>
    <mergeCell ref="F21:F22"/>
    <mergeCell ref="G21:G22"/>
    <mergeCell ref="B22:B23"/>
    <mergeCell ref="D22:D23"/>
    <mergeCell ref="C23:C24"/>
    <mergeCell ref="E23:E24"/>
    <mergeCell ref="F23:F24"/>
    <mergeCell ref="G23:G24"/>
    <mergeCell ref="B24:B25"/>
    <mergeCell ref="D24:D25"/>
    <mergeCell ref="C25:C26"/>
    <mergeCell ref="E25:E26"/>
    <mergeCell ref="F25:F26"/>
    <mergeCell ref="G25:G26"/>
    <mergeCell ref="B26:B27"/>
    <mergeCell ref="D26:D27"/>
    <mergeCell ref="G27:G36"/>
    <mergeCell ref="A36:F36"/>
    <mergeCell ref="D28:E29"/>
    <mergeCell ref="F28:F29"/>
    <mergeCell ref="D30:E31"/>
    <mergeCell ref="F30:F31"/>
    <mergeCell ref="D32:E33"/>
    <mergeCell ref="A37:A40"/>
    <mergeCell ref="B37:B40"/>
    <mergeCell ref="C37:C40"/>
    <mergeCell ref="D37:F37"/>
    <mergeCell ref="D38:D40"/>
    <mergeCell ref="E38:E40"/>
    <mergeCell ref="F38:F40"/>
    <mergeCell ref="A41:A48"/>
    <mergeCell ref="B41:B42"/>
    <mergeCell ref="D41:D42"/>
    <mergeCell ref="C42:C43"/>
    <mergeCell ref="E42:E43"/>
    <mergeCell ref="D53:E54"/>
    <mergeCell ref="F53:F54"/>
    <mergeCell ref="F42:F43"/>
    <mergeCell ref="B43:B44"/>
    <mergeCell ref="D43:D44"/>
    <mergeCell ref="C44:C45"/>
    <mergeCell ref="E44:E45"/>
    <mergeCell ref="F44:F45"/>
    <mergeCell ref="B45:B46"/>
    <mergeCell ref="D45:D46"/>
    <mergeCell ref="C46:C47"/>
    <mergeCell ref="E46:E47"/>
    <mergeCell ref="F46:F47"/>
    <mergeCell ref="B47:B48"/>
    <mergeCell ref="D47:D48"/>
    <mergeCell ref="F32:F33"/>
    <mergeCell ref="D49:E50"/>
    <mergeCell ref="F49:F50"/>
    <mergeCell ref="D51:E52"/>
    <mergeCell ref="F51:F52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M46"/>
  <sheetViews>
    <sheetView tabSelected="1" view="pageBreakPreview" zoomScaleSheetLayoutView="100" zoomScalePageLayoutView="0" workbookViewId="0" topLeftCell="A1">
      <selection activeCell="M12" sqref="M12"/>
    </sheetView>
  </sheetViews>
  <sheetFormatPr defaultColWidth="9.00390625" defaultRowHeight="12.75"/>
  <cols>
    <col min="5" max="5" width="22.50390625" style="0" customWidth="1"/>
    <col min="10" max="10" width="17.50390625" style="0" customWidth="1"/>
  </cols>
  <sheetData>
    <row r="2" spans="1:10" ht="52.5" customHeight="1">
      <c r="A2" s="536"/>
      <c r="B2" s="29"/>
      <c r="C2" s="30"/>
      <c r="D2" s="31"/>
      <c r="E2" s="29"/>
      <c r="F2" s="32"/>
      <c r="G2" s="29"/>
      <c r="H2" s="33"/>
      <c r="I2" s="33"/>
      <c r="J2" s="33"/>
    </row>
    <row r="3" spans="2:10" ht="12.75">
      <c r="B3" s="29"/>
      <c r="C3" s="30"/>
      <c r="D3" s="31"/>
      <c r="E3" s="29"/>
      <c r="F3" s="32"/>
      <c r="G3" s="29"/>
      <c r="H3" s="33"/>
      <c r="I3" s="33"/>
      <c r="J3" s="33"/>
    </row>
    <row r="4" spans="1:10" ht="34.5">
      <c r="A4" s="756" t="s">
        <v>41</v>
      </c>
      <c r="B4" s="756"/>
      <c r="C4" s="756"/>
      <c r="D4" s="756"/>
      <c r="E4" s="756"/>
      <c r="F4" s="756"/>
      <c r="G4" s="756"/>
      <c r="H4" s="756"/>
      <c r="I4" s="756"/>
      <c r="J4" s="756"/>
    </row>
    <row r="5" spans="2:10" ht="34.5">
      <c r="B5" s="34"/>
      <c r="C5" s="34"/>
      <c r="D5" s="34"/>
      <c r="E5" s="34"/>
      <c r="F5" s="34"/>
      <c r="G5" s="34"/>
      <c r="H5" s="34"/>
      <c r="I5" s="34"/>
      <c r="J5" s="34"/>
    </row>
    <row r="6" spans="2:10" ht="34.5">
      <c r="B6" s="34"/>
      <c r="C6" s="34"/>
      <c r="D6" s="34"/>
      <c r="E6" s="34"/>
      <c r="F6" s="34"/>
      <c r="G6" s="34"/>
      <c r="H6" s="34"/>
      <c r="I6" s="34"/>
      <c r="J6" s="34"/>
    </row>
    <row r="7" spans="2:10" ht="12.75">
      <c r="B7" s="35"/>
      <c r="C7" s="35"/>
      <c r="D7" s="35"/>
      <c r="E7" s="35"/>
      <c r="F7" s="35"/>
      <c r="G7" s="35"/>
      <c r="H7" s="35"/>
      <c r="I7" s="35"/>
      <c r="J7" s="33"/>
    </row>
    <row r="8" spans="2:10" ht="12.75">
      <c r="B8" s="35"/>
      <c r="C8" s="35"/>
      <c r="D8" s="35"/>
      <c r="E8" s="35"/>
      <c r="F8" s="35"/>
      <c r="G8" s="35"/>
      <c r="H8" s="35"/>
      <c r="I8" s="35"/>
      <c r="J8" s="33"/>
    </row>
    <row r="9" spans="2:10" ht="12.75">
      <c r="B9" s="35"/>
      <c r="C9" s="35"/>
      <c r="D9" s="35"/>
      <c r="E9" s="35"/>
      <c r="F9" s="35"/>
      <c r="G9" s="35"/>
      <c r="H9" s="35"/>
      <c r="I9" s="35"/>
      <c r="J9" s="33"/>
    </row>
    <row r="10" spans="2:10" ht="22.5">
      <c r="B10" s="36"/>
      <c r="C10" s="37"/>
      <c r="D10" s="37"/>
      <c r="E10" s="37"/>
      <c r="F10" s="37"/>
      <c r="G10" s="37"/>
      <c r="H10" s="37"/>
      <c r="I10" s="37"/>
      <c r="J10" s="33"/>
    </row>
    <row r="11" spans="1:10" ht="126" customHeight="1">
      <c r="A11" s="757" t="s">
        <v>40</v>
      </c>
      <c r="B11" s="757"/>
      <c r="C11" s="758" t="s">
        <v>1095</v>
      </c>
      <c r="D11" s="759"/>
      <c r="E11" s="759"/>
      <c r="F11" s="759"/>
      <c r="G11" s="759"/>
      <c r="H11" s="759"/>
      <c r="I11" s="759"/>
      <c r="J11" s="759"/>
    </row>
    <row r="12" spans="2:10" ht="12.75">
      <c r="B12" s="29"/>
      <c r="C12" s="30"/>
      <c r="D12" s="31"/>
      <c r="E12" s="29"/>
      <c r="F12" s="32"/>
      <c r="G12" s="29"/>
      <c r="H12" s="33"/>
      <c r="I12" s="33"/>
      <c r="J12" s="33"/>
    </row>
    <row r="13" spans="2:10" ht="12.75">
      <c r="B13" s="29"/>
      <c r="C13" s="30"/>
      <c r="D13" s="31"/>
      <c r="E13" s="29"/>
      <c r="F13" s="32"/>
      <c r="G13" s="29"/>
      <c r="H13" s="33"/>
      <c r="I13" s="33"/>
      <c r="J13" s="33"/>
    </row>
    <row r="14" spans="1:10" ht="25.5" customHeight="1">
      <c r="A14" s="760" t="s">
        <v>96</v>
      </c>
      <c r="B14" s="760"/>
      <c r="C14" s="760"/>
      <c r="D14" s="761"/>
      <c r="E14" s="71"/>
      <c r="F14" s="72" t="s">
        <v>42</v>
      </c>
      <c r="G14" s="39"/>
      <c r="H14" s="39"/>
      <c r="I14" s="39"/>
      <c r="J14" s="39"/>
    </row>
    <row r="15" spans="1:10" ht="12.75">
      <c r="A15" s="762"/>
      <c r="B15" s="762"/>
      <c r="C15" s="762"/>
      <c r="D15" s="762"/>
      <c r="E15" s="39"/>
      <c r="F15" s="39"/>
      <c r="G15" s="39"/>
      <c r="H15" s="39"/>
      <c r="I15" s="39"/>
      <c r="J15" s="39"/>
    </row>
    <row r="16" spans="1:10" ht="25.5" customHeight="1">
      <c r="A16" s="762" t="s">
        <v>43</v>
      </c>
      <c r="B16" s="762"/>
      <c r="C16" s="762"/>
      <c r="D16" s="762"/>
      <c r="E16" s="755" t="s">
        <v>97</v>
      </c>
      <c r="F16" s="755"/>
      <c r="G16" s="755"/>
      <c r="H16" s="755"/>
      <c r="I16" s="755"/>
      <c r="J16" s="755"/>
    </row>
    <row r="17" spans="1:10" ht="30.75" customHeight="1">
      <c r="A17" s="75"/>
      <c r="B17" s="75"/>
      <c r="C17" s="75"/>
      <c r="D17" s="75"/>
      <c r="E17" s="755" t="s">
        <v>97</v>
      </c>
      <c r="F17" s="755"/>
      <c r="G17" s="755"/>
      <c r="H17" s="755"/>
      <c r="I17" s="755"/>
      <c r="J17" s="755"/>
    </row>
    <row r="18" spans="1:10" ht="30.75" customHeight="1">
      <c r="A18" s="75"/>
      <c r="B18" s="75"/>
      <c r="C18" s="75"/>
      <c r="D18" s="75"/>
      <c r="E18" s="160"/>
      <c r="F18" s="160"/>
      <c r="G18" s="160"/>
      <c r="H18" s="160"/>
      <c r="I18" s="160"/>
      <c r="J18" s="160"/>
    </row>
    <row r="19" spans="1:10" ht="25.5" customHeight="1">
      <c r="A19" s="760" t="s">
        <v>227</v>
      </c>
      <c r="B19" s="760"/>
      <c r="C19" s="760"/>
      <c r="D19" s="761"/>
      <c r="E19" s="71"/>
      <c r="F19" s="72" t="s">
        <v>226</v>
      </c>
      <c r="G19" s="39"/>
      <c r="H19" s="39"/>
      <c r="I19" s="39"/>
      <c r="J19" s="39"/>
    </row>
    <row r="20" spans="1:10" ht="18" customHeight="1">
      <c r="A20" s="762"/>
      <c r="B20" s="762"/>
      <c r="C20" s="762"/>
      <c r="D20" s="762"/>
      <c r="E20" s="39"/>
      <c r="F20" s="39"/>
      <c r="G20" s="39"/>
      <c r="H20" s="39"/>
      <c r="I20" s="39"/>
      <c r="J20" s="39"/>
    </row>
    <row r="21" spans="1:10" ht="25.5" customHeight="1">
      <c r="A21" s="762" t="s">
        <v>43</v>
      </c>
      <c r="B21" s="762"/>
      <c r="C21" s="762"/>
      <c r="D21" s="762"/>
      <c r="E21" s="755" t="s">
        <v>97</v>
      </c>
      <c r="F21" s="755"/>
      <c r="G21" s="755"/>
      <c r="H21" s="755"/>
      <c r="I21" s="755"/>
      <c r="J21" s="755"/>
    </row>
    <row r="22" spans="1:10" ht="32.25" customHeight="1">
      <c r="A22" s="75"/>
      <c r="B22" s="75"/>
      <c r="C22" s="75"/>
      <c r="D22" s="75"/>
      <c r="E22" s="755" t="s">
        <v>97</v>
      </c>
      <c r="F22" s="755"/>
      <c r="G22" s="755"/>
      <c r="H22" s="755"/>
      <c r="I22" s="755"/>
      <c r="J22" s="755"/>
    </row>
    <row r="23" spans="2:10" ht="13.5" thickBot="1"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25.5" customHeight="1" thickBot="1">
      <c r="A24" s="760" t="s">
        <v>98</v>
      </c>
      <c r="B24" s="760"/>
      <c r="C24" s="760"/>
      <c r="D24" s="760"/>
      <c r="E24" s="161"/>
      <c r="F24" s="72" t="s">
        <v>44</v>
      </c>
      <c r="G24" s="39"/>
      <c r="H24" s="39"/>
      <c r="I24" s="39"/>
      <c r="J24" s="39"/>
    </row>
    <row r="25" spans="1:10" ht="12.75">
      <c r="A25" s="762"/>
      <c r="B25" s="762"/>
      <c r="C25" s="762"/>
      <c r="D25" s="762"/>
      <c r="E25" s="39"/>
      <c r="F25" s="39"/>
      <c r="G25" s="39"/>
      <c r="H25" s="39"/>
      <c r="I25" s="39"/>
      <c r="J25" s="39"/>
    </row>
    <row r="26" spans="1:10" ht="26.25" customHeight="1">
      <c r="A26" s="762" t="s">
        <v>43</v>
      </c>
      <c r="B26" s="762"/>
      <c r="C26" s="762"/>
      <c r="D26" s="762"/>
      <c r="E26" s="755" t="s">
        <v>97</v>
      </c>
      <c r="F26" s="755"/>
      <c r="G26" s="755"/>
      <c r="H26" s="755"/>
      <c r="I26" s="755"/>
      <c r="J26" s="755"/>
    </row>
    <row r="27" spans="5:10" ht="33.75" customHeight="1">
      <c r="E27" s="755" t="s">
        <v>97</v>
      </c>
      <c r="F27" s="755"/>
      <c r="G27" s="755"/>
      <c r="H27" s="755"/>
      <c r="I27" s="755"/>
      <c r="J27" s="755"/>
    </row>
    <row r="30" ht="12.75">
      <c r="F30" s="540"/>
    </row>
    <row r="31" spans="3:5" ht="54" customHeight="1">
      <c r="C31" s="536"/>
      <c r="E31" s="540"/>
    </row>
    <row r="32" spans="3:13" ht="12.75">
      <c r="C32" s="536"/>
      <c r="K32" s="545"/>
      <c r="L32" s="545"/>
      <c r="M32" s="545"/>
    </row>
    <row r="36" spans="1:6" ht="12.75">
      <c r="A36" s="545"/>
      <c r="B36" s="545"/>
      <c r="C36" s="545"/>
      <c r="D36" s="545"/>
      <c r="E36" s="545"/>
      <c r="F36" s="545"/>
    </row>
    <row r="37" spans="1:6" ht="12.75">
      <c r="A37" s="545"/>
      <c r="B37" s="545"/>
      <c r="C37" s="545"/>
      <c r="D37" s="545"/>
      <c r="E37" s="545"/>
      <c r="F37" s="545"/>
    </row>
    <row r="38" spans="1:6" ht="12.75">
      <c r="A38" s="545"/>
      <c r="B38" s="545"/>
      <c r="C38" s="545"/>
      <c r="D38" s="545"/>
      <c r="E38" s="545"/>
      <c r="F38" s="545"/>
    </row>
    <row r="39" ht="12.75">
      <c r="F39" s="540"/>
    </row>
    <row r="40" ht="12.75">
      <c r="E40" s="540"/>
    </row>
    <row r="41" ht="12.75">
      <c r="E41" s="540"/>
    </row>
    <row r="45" ht="12.75">
      <c r="F45" s="540"/>
    </row>
    <row r="46" ht="12.75">
      <c r="E46" s="540"/>
    </row>
  </sheetData>
  <sheetProtection/>
  <mergeCells count="18">
    <mergeCell ref="E27:J27"/>
    <mergeCell ref="A19:D19"/>
    <mergeCell ref="A20:D20"/>
    <mergeCell ref="A21:D21"/>
    <mergeCell ref="E21:J21"/>
    <mergeCell ref="A24:D24"/>
    <mergeCell ref="A25:D25"/>
    <mergeCell ref="A26:D26"/>
    <mergeCell ref="E26:J26"/>
    <mergeCell ref="E22:J22"/>
    <mergeCell ref="E17:J17"/>
    <mergeCell ref="A4:J4"/>
    <mergeCell ref="A11:B11"/>
    <mergeCell ref="C11:J11"/>
    <mergeCell ref="A14:D14"/>
    <mergeCell ref="A15:D15"/>
    <mergeCell ref="A16:D16"/>
    <mergeCell ref="E16:J16"/>
  </mergeCells>
  <printOptions/>
  <pageMargins left="0.7" right="0.7" top="0.75" bottom="0.75" header="0.3" footer="0.3"/>
  <pageSetup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53"/>
  <sheetViews>
    <sheetView view="pageBreakPreview" zoomScale="115" zoomScaleSheetLayoutView="115" zoomScalePageLayoutView="0" workbookViewId="0" topLeftCell="A7">
      <selection activeCell="V104" sqref="V104"/>
    </sheetView>
  </sheetViews>
  <sheetFormatPr defaultColWidth="9.00390625" defaultRowHeight="12.75"/>
  <cols>
    <col min="4" max="4" width="11.50390625" style="0" customWidth="1"/>
    <col min="5" max="6" width="10.50390625" style="0" customWidth="1"/>
  </cols>
  <sheetData>
    <row r="1" spans="5:7" ht="18.75" customHeight="1">
      <c r="E1" s="1058" t="s">
        <v>402</v>
      </c>
      <c r="F1" s="1058"/>
      <c r="G1" s="1058"/>
    </row>
    <row r="2" spans="8:9" ht="12.75">
      <c r="H2" s="1059"/>
      <c r="I2" s="1059"/>
    </row>
    <row r="3" spans="1:9" ht="12.75" customHeight="1">
      <c r="A3" s="1060" t="s">
        <v>403</v>
      </c>
      <c r="B3" s="1060"/>
      <c r="C3" s="1060"/>
      <c r="D3" s="1060"/>
      <c r="E3" s="1060"/>
      <c r="F3" s="1060"/>
      <c r="G3" s="244"/>
      <c r="H3" s="244"/>
      <c r="I3" s="244"/>
    </row>
    <row r="4" spans="1:9" ht="12.75" customHeight="1">
      <c r="A4" s="1060"/>
      <c r="B4" s="1060"/>
      <c r="C4" s="1060"/>
      <c r="D4" s="1060"/>
      <c r="E4" s="1060"/>
      <c r="F4" s="1060"/>
      <c r="G4" s="244"/>
      <c r="H4" s="244"/>
      <c r="I4" s="244"/>
    </row>
    <row r="5" spans="1:9" ht="12.75" customHeight="1">
      <c r="A5" s="990" t="s">
        <v>447</v>
      </c>
      <c r="B5" s="990"/>
      <c r="C5" s="990"/>
      <c r="D5" s="990"/>
      <c r="E5" s="990"/>
      <c r="F5" s="990"/>
      <c r="G5" s="244"/>
      <c r="H5" s="244"/>
      <c r="I5" s="244"/>
    </row>
    <row r="6" spans="1:9" ht="69.75" customHeight="1">
      <c r="A6" s="990"/>
      <c r="B6" s="990"/>
      <c r="C6" s="990"/>
      <c r="D6" s="990"/>
      <c r="E6" s="990"/>
      <c r="F6" s="990"/>
      <c r="G6" s="216"/>
      <c r="H6" s="216"/>
      <c r="I6" s="216"/>
    </row>
    <row r="7" spans="1:6" ht="12.75" customHeight="1">
      <c r="A7" s="991" t="s">
        <v>344</v>
      </c>
      <c r="B7" s="992"/>
      <c r="C7" s="992"/>
      <c r="D7" s="992"/>
      <c r="E7" s="992"/>
      <c r="F7" s="993"/>
    </row>
    <row r="8" spans="1:6" ht="12.75" customHeight="1">
      <c r="A8" s="994" t="s">
        <v>345</v>
      </c>
      <c r="B8" s="994" t="s">
        <v>346</v>
      </c>
      <c r="C8" s="994" t="s">
        <v>347</v>
      </c>
      <c r="D8" s="996" t="s">
        <v>404</v>
      </c>
      <c r="E8" s="996"/>
      <c r="F8" s="996"/>
    </row>
    <row r="9" spans="1:6" ht="12.75">
      <c r="A9" s="995"/>
      <c r="B9" s="995"/>
      <c r="C9" s="994"/>
      <c r="D9" s="994" t="s">
        <v>349</v>
      </c>
      <c r="E9" s="994" t="s">
        <v>350</v>
      </c>
      <c r="F9" s="994" t="s">
        <v>351</v>
      </c>
    </row>
    <row r="10" spans="1:6" ht="12.75">
      <c r="A10" s="995"/>
      <c r="B10" s="995"/>
      <c r="C10" s="994"/>
      <c r="D10" s="994"/>
      <c r="E10" s="994"/>
      <c r="F10" s="994"/>
    </row>
    <row r="11" spans="1:7" ht="12" customHeight="1">
      <c r="A11" s="995"/>
      <c r="B11" s="995"/>
      <c r="C11" s="994"/>
      <c r="D11" s="994"/>
      <c r="E11" s="994"/>
      <c r="F11" s="994"/>
      <c r="G11" s="1056"/>
    </row>
    <row r="12" spans="1:7" ht="12" customHeight="1">
      <c r="A12" s="982">
        <v>13</v>
      </c>
      <c r="B12" s="980">
        <v>780</v>
      </c>
      <c r="C12" s="218" t="s">
        <v>34</v>
      </c>
      <c r="D12" s="978">
        <v>0</v>
      </c>
      <c r="E12" s="219" t="s">
        <v>34</v>
      </c>
      <c r="F12" s="219" t="s">
        <v>34</v>
      </c>
      <c r="G12" s="1056"/>
    </row>
    <row r="13" spans="1:7" ht="12" customHeight="1">
      <c r="A13" s="982"/>
      <c r="B13" s="980"/>
      <c r="C13" s="980">
        <f>B14-B12</f>
        <v>2.4</v>
      </c>
      <c r="D13" s="978"/>
      <c r="E13" s="978">
        <f>SUM(0.5*D12,0.5*D14)</f>
        <v>0.81</v>
      </c>
      <c r="F13" s="978">
        <f>PRODUCT(C13,E13)</f>
        <v>1.94</v>
      </c>
      <c r="G13" s="1056"/>
    </row>
    <row r="14" spans="1:7" ht="12" customHeight="1">
      <c r="A14" s="982"/>
      <c r="B14" s="980">
        <v>782.4</v>
      </c>
      <c r="C14" s="980"/>
      <c r="D14" s="981">
        <v>1.62</v>
      </c>
      <c r="E14" s="978"/>
      <c r="F14" s="978"/>
      <c r="G14" s="1056"/>
    </row>
    <row r="15" spans="1:7" ht="12" customHeight="1">
      <c r="A15" s="982"/>
      <c r="B15" s="980"/>
      <c r="C15" s="980">
        <f>B16-B14</f>
        <v>28.9</v>
      </c>
      <c r="D15" s="1004"/>
      <c r="E15" s="978">
        <f>SUM(0.5*D14,0.5*D16)</f>
        <v>1.62</v>
      </c>
      <c r="F15" s="978">
        <f>PRODUCT(C15,E15)</f>
        <v>46.82</v>
      </c>
      <c r="G15" s="1056"/>
    </row>
    <row r="16" spans="1:7" ht="12" customHeight="1">
      <c r="A16" s="982"/>
      <c r="B16" s="980">
        <v>811.3</v>
      </c>
      <c r="C16" s="980"/>
      <c r="D16" s="978">
        <v>1.62</v>
      </c>
      <c r="E16" s="978"/>
      <c r="F16" s="978"/>
      <c r="G16" s="1056"/>
    </row>
    <row r="17" spans="1:7" ht="12" customHeight="1">
      <c r="A17" s="982"/>
      <c r="B17" s="980"/>
      <c r="C17" s="980">
        <f>B18-B16</f>
        <v>18.7</v>
      </c>
      <c r="D17" s="978"/>
      <c r="E17" s="978">
        <f>SUM(0.5*D16,0.5*D18)</f>
        <v>1.62</v>
      </c>
      <c r="F17" s="978">
        <f>PRODUCT(C17,E17)</f>
        <v>30.29</v>
      </c>
      <c r="G17" s="1056"/>
    </row>
    <row r="18" spans="1:7" ht="12" customHeight="1">
      <c r="A18" s="982"/>
      <c r="B18" s="980">
        <v>830</v>
      </c>
      <c r="C18" s="980"/>
      <c r="D18" s="978">
        <v>1.62</v>
      </c>
      <c r="E18" s="978"/>
      <c r="F18" s="978"/>
      <c r="G18" s="1056"/>
    </row>
    <row r="19" spans="1:7" ht="12" customHeight="1">
      <c r="A19" s="982"/>
      <c r="B19" s="980"/>
      <c r="C19" s="980">
        <f>B20-B18</f>
        <v>31.6</v>
      </c>
      <c r="D19" s="978"/>
      <c r="E19" s="978">
        <f>SUM(0.5*D18,0.5*D20)</f>
        <v>1.62</v>
      </c>
      <c r="F19" s="978">
        <f>PRODUCT(C19,E19)</f>
        <v>51.19</v>
      </c>
      <c r="G19" s="1056"/>
    </row>
    <row r="20" spans="1:7" ht="12" customHeight="1">
      <c r="A20" s="982"/>
      <c r="B20" s="980">
        <v>861.6</v>
      </c>
      <c r="C20" s="980"/>
      <c r="D20" s="978">
        <v>1.62</v>
      </c>
      <c r="E20" s="978"/>
      <c r="F20" s="978"/>
      <c r="G20" s="1056"/>
    </row>
    <row r="21" spans="1:7" ht="12" customHeight="1">
      <c r="A21" s="982"/>
      <c r="B21" s="980"/>
      <c r="C21" s="980">
        <f>B22-B20</f>
        <v>18.4</v>
      </c>
      <c r="D21" s="978"/>
      <c r="E21" s="978">
        <f>SUM(0.5*D20,0.5*D22)</f>
        <v>1.62</v>
      </c>
      <c r="F21" s="978">
        <f>PRODUCT(C21,E21)</f>
        <v>29.81</v>
      </c>
      <c r="G21" s="1056"/>
    </row>
    <row r="22" spans="1:7" ht="12" customHeight="1">
      <c r="A22" s="982"/>
      <c r="B22" s="980">
        <v>880</v>
      </c>
      <c r="C22" s="980"/>
      <c r="D22" s="978">
        <v>1.62</v>
      </c>
      <c r="E22" s="978"/>
      <c r="F22" s="978"/>
      <c r="G22" s="1056"/>
    </row>
    <row r="23" spans="1:7" ht="12" customHeight="1">
      <c r="A23" s="982"/>
      <c r="B23" s="980"/>
      <c r="C23" s="980">
        <f>B24-B22</f>
        <v>23.7</v>
      </c>
      <c r="D23" s="978"/>
      <c r="E23" s="978">
        <f>SUM(0.5*D22,0.5*D24)</f>
        <v>1.62</v>
      </c>
      <c r="F23" s="978">
        <f>PRODUCT(C23,E23)</f>
        <v>38.39</v>
      </c>
      <c r="G23" s="1056"/>
    </row>
    <row r="24" spans="1:7" ht="12" customHeight="1">
      <c r="A24" s="982"/>
      <c r="B24" s="980">
        <v>903.7</v>
      </c>
      <c r="C24" s="980"/>
      <c r="D24" s="978">
        <v>1.62</v>
      </c>
      <c r="E24" s="978"/>
      <c r="F24" s="978"/>
      <c r="G24" s="1056"/>
    </row>
    <row r="25" spans="1:7" ht="12" customHeight="1">
      <c r="A25" s="982"/>
      <c r="B25" s="980"/>
      <c r="C25" s="980">
        <f>B26-B24</f>
        <v>34.3</v>
      </c>
      <c r="D25" s="978"/>
      <c r="E25" s="978">
        <f>SUM(0.5*D24,0.5*D26)</f>
        <v>1.62</v>
      </c>
      <c r="F25" s="978">
        <f>PRODUCT(C25,E25)</f>
        <v>55.57</v>
      </c>
      <c r="G25" s="1056"/>
    </row>
    <row r="26" spans="1:7" ht="12" customHeight="1">
      <c r="A26" s="982"/>
      <c r="B26" s="980">
        <v>938</v>
      </c>
      <c r="C26" s="980"/>
      <c r="D26" s="978">
        <v>1.62</v>
      </c>
      <c r="E26" s="978"/>
      <c r="F26" s="978"/>
      <c r="G26" s="1056"/>
    </row>
    <row r="27" spans="1:7" ht="12" customHeight="1">
      <c r="A27" s="982"/>
      <c r="B27" s="980"/>
      <c r="C27" s="218" t="s">
        <v>34</v>
      </c>
      <c r="D27" s="978"/>
      <c r="E27" s="219" t="s">
        <v>34</v>
      </c>
      <c r="F27" s="219" t="s">
        <v>34</v>
      </c>
      <c r="G27" s="1056"/>
    </row>
    <row r="28" spans="1:7" ht="12" customHeight="1">
      <c r="A28" s="290"/>
      <c r="B28" s="292"/>
      <c r="C28" s="292"/>
      <c r="D28" s="983" t="s">
        <v>353</v>
      </c>
      <c r="E28" s="983"/>
      <c r="F28" s="984">
        <f>SUM(F13:F26)</f>
        <v>254.01</v>
      </c>
      <c r="G28" s="1057"/>
    </row>
    <row r="29" spans="1:7" ht="12" customHeight="1">
      <c r="A29" s="290"/>
      <c r="B29" s="292"/>
      <c r="C29" s="292"/>
      <c r="D29" s="983"/>
      <c r="E29" s="983"/>
      <c r="F29" s="984"/>
      <c r="G29" s="1057"/>
    </row>
    <row r="30" spans="1:7" ht="12" customHeight="1">
      <c r="A30" s="290"/>
      <c r="B30" s="292"/>
      <c r="C30" s="292"/>
      <c r="D30" s="983" t="s">
        <v>354</v>
      </c>
      <c r="E30" s="983"/>
      <c r="F30" s="984">
        <f>14.01+11.51+9.1</f>
        <v>34.62</v>
      </c>
      <c r="G30" s="1057"/>
    </row>
    <row r="31" spans="1:7" ht="12" customHeight="1">
      <c r="A31" s="290"/>
      <c r="B31" s="292"/>
      <c r="C31" s="292"/>
      <c r="D31" s="983"/>
      <c r="E31" s="983"/>
      <c r="F31" s="984"/>
      <c r="G31" s="1057"/>
    </row>
    <row r="32" spans="1:7" ht="12" customHeight="1">
      <c r="A32" s="290"/>
      <c r="B32" s="292"/>
      <c r="C32" s="292"/>
      <c r="D32" s="983" t="s">
        <v>481</v>
      </c>
      <c r="E32" s="983"/>
      <c r="F32" s="984">
        <f>F28+F30</f>
        <v>288.63</v>
      </c>
      <c r="G32" s="1057"/>
    </row>
    <row r="33" spans="1:7" ht="12" customHeight="1">
      <c r="A33" s="290"/>
      <c r="B33" s="292"/>
      <c r="C33" s="292"/>
      <c r="D33" s="983"/>
      <c r="E33" s="983"/>
      <c r="F33" s="984"/>
      <c r="G33" s="1057"/>
    </row>
    <row r="34" spans="1:7" ht="12" customHeight="1">
      <c r="A34" s="290"/>
      <c r="B34" s="292"/>
      <c r="C34" s="292"/>
      <c r="D34" s="293"/>
      <c r="E34" s="293"/>
      <c r="F34" s="293"/>
      <c r="G34" s="1057"/>
    </row>
    <row r="35" spans="1:7" ht="12" customHeight="1">
      <c r="A35" s="991" t="s">
        <v>352</v>
      </c>
      <c r="B35" s="992"/>
      <c r="C35" s="992"/>
      <c r="D35" s="992"/>
      <c r="E35" s="992"/>
      <c r="F35" s="993"/>
      <c r="G35" s="1056"/>
    </row>
    <row r="36" spans="1:10" ht="12" customHeight="1">
      <c r="A36" s="994" t="s">
        <v>345</v>
      </c>
      <c r="B36" s="994" t="s">
        <v>346</v>
      </c>
      <c r="C36" s="994" t="s">
        <v>347</v>
      </c>
      <c r="D36" s="996" t="s">
        <v>404</v>
      </c>
      <c r="E36" s="996"/>
      <c r="F36" s="996"/>
      <c r="J36" s="224"/>
    </row>
    <row r="37" spans="1:10" ht="12" customHeight="1">
      <c r="A37" s="995"/>
      <c r="B37" s="995"/>
      <c r="C37" s="994"/>
      <c r="D37" s="994" t="s">
        <v>349</v>
      </c>
      <c r="E37" s="994" t="s">
        <v>350</v>
      </c>
      <c r="F37" s="994" t="s">
        <v>351</v>
      </c>
      <c r="J37" s="224"/>
    </row>
    <row r="38" spans="1:8" ht="12" customHeight="1">
      <c r="A38" s="995"/>
      <c r="B38" s="995"/>
      <c r="C38" s="994"/>
      <c r="D38" s="994"/>
      <c r="E38" s="994"/>
      <c r="F38" s="994"/>
      <c r="H38" s="224"/>
    </row>
    <row r="39" spans="1:6" ht="12" customHeight="1">
      <c r="A39" s="995"/>
      <c r="B39" s="995"/>
      <c r="C39" s="994"/>
      <c r="D39" s="994"/>
      <c r="E39" s="994"/>
      <c r="F39" s="994"/>
    </row>
    <row r="40" spans="1:6" ht="12.75">
      <c r="A40" s="982">
        <v>0</v>
      </c>
      <c r="B40" s="1003">
        <v>12</v>
      </c>
      <c r="C40" s="220" t="s">
        <v>34</v>
      </c>
      <c r="D40" s="1004">
        <v>1.62</v>
      </c>
      <c r="E40" s="221" t="s">
        <v>34</v>
      </c>
      <c r="F40" s="221" t="s">
        <v>34</v>
      </c>
    </row>
    <row r="41" spans="1:6" ht="12.75">
      <c r="A41" s="982"/>
      <c r="B41" s="980"/>
      <c r="C41" s="980">
        <f>B42-B40</f>
        <v>5.7</v>
      </c>
      <c r="D41" s="981"/>
      <c r="E41" s="978">
        <f>SUM(0.5*D40,0.5*D42)</f>
        <v>1.62</v>
      </c>
      <c r="F41" s="978">
        <f>PRODUCT(C41,E41)</f>
        <v>9.23</v>
      </c>
    </row>
    <row r="42" spans="1:6" ht="12.75">
      <c r="A42" s="982"/>
      <c r="B42" s="980">
        <v>17.7</v>
      </c>
      <c r="C42" s="980"/>
      <c r="D42" s="978">
        <v>1.62</v>
      </c>
      <c r="E42" s="978"/>
      <c r="F42" s="978"/>
    </row>
    <row r="43" spans="1:6" ht="12.75">
      <c r="A43" s="982"/>
      <c r="B43" s="980"/>
      <c r="C43" s="985">
        <f>B44-B42</f>
        <v>17.3</v>
      </c>
      <c r="D43" s="981"/>
      <c r="E43" s="978">
        <f>SUM(0.5*D42,0.5*D44)</f>
        <v>1.62</v>
      </c>
      <c r="F43" s="978">
        <f>PRODUCT(C43,E43)</f>
        <v>28.03</v>
      </c>
    </row>
    <row r="44" spans="1:6" ht="12.75">
      <c r="A44" s="982"/>
      <c r="B44" s="980">
        <v>35</v>
      </c>
      <c r="C44" s="986"/>
      <c r="D44" s="978">
        <v>1.62</v>
      </c>
      <c r="E44" s="978"/>
      <c r="F44" s="978"/>
    </row>
    <row r="45" spans="1:6" ht="12.75">
      <c r="A45" s="982"/>
      <c r="B45" s="980"/>
      <c r="C45" s="985">
        <f>B46-B44</f>
        <v>17</v>
      </c>
      <c r="D45" s="981"/>
      <c r="E45" s="978">
        <f>SUM(0.5*D44,0.5*D46)</f>
        <v>0.81</v>
      </c>
      <c r="F45" s="978">
        <f>PRODUCT(C45,E45)</f>
        <v>13.77</v>
      </c>
    </row>
    <row r="46" spans="1:6" ht="12.75">
      <c r="A46" s="982"/>
      <c r="B46" s="980">
        <v>52</v>
      </c>
      <c r="C46" s="986"/>
      <c r="D46" s="978">
        <v>0</v>
      </c>
      <c r="E46" s="978"/>
      <c r="F46" s="978"/>
    </row>
    <row r="47" spans="1:6" ht="12.75">
      <c r="A47" s="982"/>
      <c r="B47" s="980"/>
      <c r="C47" s="218" t="s">
        <v>34</v>
      </c>
      <c r="D47" s="981"/>
      <c r="E47" s="282" t="s">
        <v>34</v>
      </c>
      <c r="F47" s="282" t="s">
        <v>34</v>
      </c>
    </row>
    <row r="48" spans="4:6" ht="12.75">
      <c r="D48" s="983" t="s">
        <v>353</v>
      </c>
      <c r="E48" s="983"/>
      <c r="F48" s="984">
        <f>SUM(F41:F47)</f>
        <v>51.03</v>
      </c>
    </row>
    <row r="49" spans="3:6" ht="13.5" customHeight="1">
      <c r="C49" s="214"/>
      <c r="D49" s="983"/>
      <c r="E49" s="983"/>
      <c r="F49" s="984"/>
    </row>
    <row r="50" spans="4:6" ht="12.75">
      <c r="D50" s="983" t="s">
        <v>354</v>
      </c>
      <c r="E50" s="983"/>
      <c r="F50" s="984">
        <f>6.5+18.56</f>
        <v>25.06</v>
      </c>
    </row>
    <row r="51" spans="4:6" ht="12.75">
      <c r="D51" s="983"/>
      <c r="E51" s="983"/>
      <c r="F51" s="984"/>
    </row>
    <row r="52" spans="4:6" ht="12.75">
      <c r="D52" s="983" t="s">
        <v>482</v>
      </c>
      <c r="E52" s="983"/>
      <c r="F52" s="984">
        <f>F48+F50</f>
        <v>76.09</v>
      </c>
    </row>
    <row r="53" spans="4:6" ht="12.75">
      <c r="D53" s="983"/>
      <c r="E53" s="983"/>
      <c r="F53" s="984"/>
    </row>
  </sheetData>
  <sheetProtection/>
  <mergeCells count="97">
    <mergeCell ref="E1:G1"/>
    <mergeCell ref="H2:I2"/>
    <mergeCell ref="A3:F4"/>
    <mergeCell ref="A5:F6"/>
    <mergeCell ref="A7:F7"/>
    <mergeCell ref="A8:A11"/>
    <mergeCell ref="B8:B11"/>
    <mergeCell ref="C8:C11"/>
    <mergeCell ref="D8:F8"/>
    <mergeCell ref="D9:D11"/>
    <mergeCell ref="E9:E11"/>
    <mergeCell ref="F9:F11"/>
    <mergeCell ref="G11:G12"/>
    <mergeCell ref="A12:A27"/>
    <mergeCell ref="B12:B13"/>
    <mergeCell ref="D12:D13"/>
    <mergeCell ref="C13:C14"/>
    <mergeCell ref="E13:E14"/>
    <mergeCell ref="F13:F14"/>
    <mergeCell ref="G13:G14"/>
    <mergeCell ref="B14:B15"/>
    <mergeCell ref="D14:D15"/>
    <mergeCell ref="C15:C16"/>
    <mergeCell ref="E15:E16"/>
    <mergeCell ref="F15:F16"/>
    <mergeCell ref="G15:G16"/>
    <mergeCell ref="B16:B17"/>
    <mergeCell ref="D16:D17"/>
    <mergeCell ref="C17:C18"/>
    <mergeCell ref="E17:E18"/>
    <mergeCell ref="F17:F18"/>
    <mergeCell ref="G17:G18"/>
    <mergeCell ref="B18:B19"/>
    <mergeCell ref="D18:D19"/>
    <mergeCell ref="C19:C20"/>
    <mergeCell ref="E19:E20"/>
    <mergeCell ref="F19:F20"/>
    <mergeCell ref="G19:G20"/>
    <mergeCell ref="B20:B21"/>
    <mergeCell ref="D20:D21"/>
    <mergeCell ref="C21:C22"/>
    <mergeCell ref="E21:E22"/>
    <mergeCell ref="F21:F22"/>
    <mergeCell ref="G21:G22"/>
    <mergeCell ref="B22:B23"/>
    <mergeCell ref="D22:D23"/>
    <mergeCell ref="C23:C24"/>
    <mergeCell ref="E23:E24"/>
    <mergeCell ref="F23:F24"/>
    <mergeCell ref="G23:G24"/>
    <mergeCell ref="B24:B25"/>
    <mergeCell ref="D24:D25"/>
    <mergeCell ref="C25:C26"/>
    <mergeCell ref="E25:E26"/>
    <mergeCell ref="F25:F26"/>
    <mergeCell ref="G25:G26"/>
    <mergeCell ref="B26:B27"/>
    <mergeCell ref="D26:D27"/>
    <mergeCell ref="G27:G35"/>
    <mergeCell ref="A35:F35"/>
    <mergeCell ref="D28:E29"/>
    <mergeCell ref="F28:F29"/>
    <mergeCell ref="D30:E31"/>
    <mergeCell ref="F30:F31"/>
    <mergeCell ref="D32:E33"/>
    <mergeCell ref="A36:A39"/>
    <mergeCell ref="B36:B39"/>
    <mergeCell ref="C36:C39"/>
    <mergeCell ref="D36:F36"/>
    <mergeCell ref="D37:D39"/>
    <mergeCell ref="E37:E39"/>
    <mergeCell ref="F37:F39"/>
    <mergeCell ref="A40:A47"/>
    <mergeCell ref="B40:B41"/>
    <mergeCell ref="D40:D41"/>
    <mergeCell ref="C41:C42"/>
    <mergeCell ref="E41:E42"/>
    <mergeCell ref="D52:E53"/>
    <mergeCell ref="F52:F53"/>
    <mergeCell ref="F41:F42"/>
    <mergeCell ref="B42:B43"/>
    <mergeCell ref="D42:D43"/>
    <mergeCell ref="C43:C44"/>
    <mergeCell ref="E43:E44"/>
    <mergeCell ref="F43:F44"/>
    <mergeCell ref="B44:B45"/>
    <mergeCell ref="D44:D45"/>
    <mergeCell ref="C45:C46"/>
    <mergeCell ref="E45:E46"/>
    <mergeCell ref="F45:F46"/>
    <mergeCell ref="B46:B47"/>
    <mergeCell ref="D46:D47"/>
    <mergeCell ref="F32:F33"/>
    <mergeCell ref="D48:E49"/>
    <mergeCell ref="F48:F49"/>
    <mergeCell ref="D50:E51"/>
    <mergeCell ref="F50:F5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J45"/>
  <sheetViews>
    <sheetView view="pageBreakPreview" zoomScale="115" zoomScaleSheetLayoutView="115" zoomScalePageLayoutView="0" workbookViewId="0" topLeftCell="A22">
      <selection activeCell="V104" sqref="V104"/>
    </sheetView>
  </sheetViews>
  <sheetFormatPr defaultColWidth="9.00390625" defaultRowHeight="12.75"/>
  <cols>
    <col min="4" max="4" width="11.50390625" style="0" customWidth="1"/>
    <col min="5" max="6" width="10.50390625" style="0" customWidth="1"/>
  </cols>
  <sheetData>
    <row r="1" spans="5:7" ht="18.75" customHeight="1">
      <c r="E1" s="1058" t="s">
        <v>405</v>
      </c>
      <c r="F1" s="1058"/>
      <c r="G1" s="1058"/>
    </row>
    <row r="2" spans="8:9" ht="12.75">
      <c r="H2" s="1059"/>
      <c r="I2" s="1059"/>
    </row>
    <row r="3" spans="1:9" ht="12.75" customHeight="1">
      <c r="A3" s="1060" t="s">
        <v>406</v>
      </c>
      <c r="B3" s="1060"/>
      <c r="C3" s="1060"/>
      <c r="D3" s="1060"/>
      <c r="E3" s="1060"/>
      <c r="F3" s="1060"/>
      <c r="G3" s="244"/>
      <c r="H3" s="244"/>
      <c r="I3" s="244"/>
    </row>
    <row r="4" spans="1:9" ht="30.75" customHeight="1">
      <c r="A4" s="1060"/>
      <c r="B4" s="1060"/>
      <c r="C4" s="1060"/>
      <c r="D4" s="1060"/>
      <c r="E4" s="1060"/>
      <c r="F4" s="1060"/>
      <c r="G4" s="244"/>
      <c r="H4" s="244"/>
      <c r="I4" s="244"/>
    </row>
    <row r="5" spans="1:9" ht="12.75" customHeight="1">
      <c r="A5" s="990" t="s">
        <v>447</v>
      </c>
      <c r="B5" s="990"/>
      <c r="C5" s="990"/>
      <c r="D5" s="990"/>
      <c r="E5" s="990"/>
      <c r="F5" s="990"/>
      <c r="G5" s="244"/>
      <c r="H5" s="244"/>
      <c r="I5" s="244"/>
    </row>
    <row r="6" spans="1:9" ht="69.75" customHeight="1">
      <c r="A6" s="990"/>
      <c r="B6" s="990"/>
      <c r="C6" s="990"/>
      <c r="D6" s="990"/>
      <c r="E6" s="990"/>
      <c r="F6" s="990"/>
      <c r="G6" s="216"/>
      <c r="H6" s="216"/>
      <c r="I6" s="216"/>
    </row>
    <row r="7" spans="1:6" ht="12.75" customHeight="1">
      <c r="A7" s="991" t="s">
        <v>344</v>
      </c>
      <c r="B7" s="992"/>
      <c r="C7" s="992"/>
      <c r="D7" s="992"/>
      <c r="E7" s="992"/>
      <c r="F7" s="993"/>
    </row>
    <row r="8" spans="1:6" ht="12.75" customHeight="1">
      <c r="A8" s="994" t="s">
        <v>345</v>
      </c>
      <c r="B8" s="994" t="s">
        <v>346</v>
      </c>
      <c r="C8" s="994" t="s">
        <v>347</v>
      </c>
      <c r="D8" s="996" t="s">
        <v>407</v>
      </c>
      <c r="E8" s="996"/>
      <c r="F8" s="996"/>
    </row>
    <row r="9" spans="1:6" ht="12.75">
      <c r="A9" s="995"/>
      <c r="B9" s="995"/>
      <c r="C9" s="994"/>
      <c r="D9" s="994" t="s">
        <v>349</v>
      </c>
      <c r="E9" s="994" t="s">
        <v>350</v>
      </c>
      <c r="F9" s="994" t="s">
        <v>351</v>
      </c>
    </row>
    <row r="10" spans="1:6" ht="12.75">
      <c r="A10" s="995"/>
      <c r="B10" s="995"/>
      <c r="C10" s="994"/>
      <c r="D10" s="994"/>
      <c r="E10" s="994"/>
      <c r="F10" s="994"/>
    </row>
    <row r="11" spans="1:7" ht="12" customHeight="1">
      <c r="A11" s="995"/>
      <c r="B11" s="995"/>
      <c r="C11" s="994"/>
      <c r="D11" s="994"/>
      <c r="E11" s="994"/>
      <c r="F11" s="994"/>
      <c r="G11" s="1056"/>
    </row>
    <row r="12" spans="1:7" ht="12" customHeight="1">
      <c r="A12" s="982">
        <v>13</v>
      </c>
      <c r="B12" s="980">
        <v>780</v>
      </c>
      <c r="C12" s="218" t="s">
        <v>34</v>
      </c>
      <c r="D12" s="978">
        <v>0</v>
      </c>
      <c r="E12" s="219" t="s">
        <v>34</v>
      </c>
      <c r="F12" s="219" t="s">
        <v>34</v>
      </c>
      <c r="G12" s="1056"/>
    </row>
    <row r="13" spans="1:7" ht="12" customHeight="1">
      <c r="A13" s="982"/>
      <c r="B13" s="980"/>
      <c r="C13" s="980">
        <f>B14-B12</f>
        <v>2.4</v>
      </c>
      <c r="D13" s="978"/>
      <c r="E13" s="978">
        <f>SUM(0.5*D12,0.5*D14)</f>
        <v>0.68</v>
      </c>
      <c r="F13" s="978">
        <f>PRODUCT(C13,E13)</f>
        <v>1.63</v>
      </c>
      <c r="G13" s="1056"/>
    </row>
    <row r="14" spans="1:7" ht="12" customHeight="1">
      <c r="A14" s="982"/>
      <c r="B14" s="980">
        <v>782.4</v>
      </c>
      <c r="C14" s="980"/>
      <c r="D14" s="981">
        <v>1.35</v>
      </c>
      <c r="E14" s="978"/>
      <c r="F14" s="978"/>
      <c r="G14" s="1056"/>
    </row>
    <row r="15" spans="1:7" ht="12" customHeight="1">
      <c r="A15" s="982"/>
      <c r="B15" s="980"/>
      <c r="C15" s="980">
        <f>B16-B14</f>
        <v>28.9</v>
      </c>
      <c r="D15" s="1004"/>
      <c r="E15" s="978">
        <f>SUM(0.5*D14,0.5*D16)</f>
        <v>1.35</v>
      </c>
      <c r="F15" s="978">
        <f>PRODUCT(C15,E15)</f>
        <v>39.02</v>
      </c>
      <c r="G15" s="1056"/>
    </row>
    <row r="16" spans="1:7" ht="12" customHeight="1">
      <c r="A16" s="982"/>
      <c r="B16" s="980">
        <v>811.3</v>
      </c>
      <c r="C16" s="980"/>
      <c r="D16" s="978">
        <v>1.35</v>
      </c>
      <c r="E16" s="978"/>
      <c r="F16" s="978"/>
      <c r="G16" s="1056"/>
    </row>
    <row r="17" spans="1:7" ht="12" customHeight="1">
      <c r="A17" s="982"/>
      <c r="B17" s="980"/>
      <c r="C17" s="980">
        <f>B18-B16</f>
        <v>18.7</v>
      </c>
      <c r="D17" s="978"/>
      <c r="E17" s="978">
        <f>SUM(0.5*D16,0.5*D18)</f>
        <v>1.35</v>
      </c>
      <c r="F17" s="978">
        <f>PRODUCT(C17,E17)</f>
        <v>25.25</v>
      </c>
      <c r="G17" s="1056"/>
    </row>
    <row r="18" spans="1:7" ht="12" customHeight="1">
      <c r="A18" s="982"/>
      <c r="B18" s="980">
        <v>830</v>
      </c>
      <c r="C18" s="980"/>
      <c r="D18" s="978">
        <v>1.35</v>
      </c>
      <c r="E18" s="978"/>
      <c r="F18" s="978"/>
      <c r="G18" s="1056"/>
    </row>
    <row r="19" spans="1:7" ht="12" customHeight="1">
      <c r="A19" s="982"/>
      <c r="B19" s="980"/>
      <c r="C19" s="980">
        <f>B20-B18</f>
        <v>31.6</v>
      </c>
      <c r="D19" s="978"/>
      <c r="E19" s="978">
        <f>SUM(0.5*D18,0.5*D20)</f>
        <v>1.35</v>
      </c>
      <c r="F19" s="978">
        <f>PRODUCT(C19,E19)</f>
        <v>42.66</v>
      </c>
      <c r="G19" s="1056"/>
    </row>
    <row r="20" spans="1:7" ht="12" customHeight="1">
      <c r="A20" s="982"/>
      <c r="B20" s="980">
        <v>861.6</v>
      </c>
      <c r="C20" s="980"/>
      <c r="D20" s="978">
        <v>1.35</v>
      </c>
      <c r="E20" s="978"/>
      <c r="F20" s="978"/>
      <c r="G20" s="1056"/>
    </row>
    <row r="21" spans="1:7" ht="12" customHeight="1">
      <c r="A21" s="982"/>
      <c r="B21" s="980"/>
      <c r="C21" s="980">
        <f>B22-B20</f>
        <v>18.4</v>
      </c>
      <c r="D21" s="978"/>
      <c r="E21" s="978">
        <f>SUM(0.5*D20,0.5*D22)</f>
        <v>1.35</v>
      </c>
      <c r="F21" s="978">
        <f>PRODUCT(C21,E21)</f>
        <v>24.84</v>
      </c>
      <c r="G21" s="1056"/>
    </row>
    <row r="22" spans="1:7" ht="12" customHeight="1">
      <c r="A22" s="982"/>
      <c r="B22" s="980">
        <v>880</v>
      </c>
      <c r="C22" s="980"/>
      <c r="D22" s="978">
        <v>1.35</v>
      </c>
      <c r="E22" s="978"/>
      <c r="F22" s="978"/>
      <c r="G22" s="1056"/>
    </row>
    <row r="23" spans="1:7" ht="12" customHeight="1">
      <c r="A23" s="982"/>
      <c r="B23" s="980"/>
      <c r="C23" s="980">
        <f>B24-B22</f>
        <v>23.7</v>
      </c>
      <c r="D23" s="978"/>
      <c r="E23" s="978">
        <f>SUM(0.5*D22,0.5*D24)</f>
        <v>1.35</v>
      </c>
      <c r="F23" s="978">
        <f>PRODUCT(C23,E23)</f>
        <v>32</v>
      </c>
      <c r="G23" s="1056"/>
    </row>
    <row r="24" spans="1:7" ht="12" customHeight="1">
      <c r="A24" s="982"/>
      <c r="B24" s="980">
        <v>903.7</v>
      </c>
      <c r="C24" s="980"/>
      <c r="D24" s="978">
        <v>1.35</v>
      </c>
      <c r="E24" s="978"/>
      <c r="F24" s="978"/>
      <c r="G24" s="1056"/>
    </row>
    <row r="25" spans="1:7" ht="12" customHeight="1">
      <c r="A25" s="982"/>
      <c r="B25" s="980"/>
      <c r="C25" s="980">
        <f>B26-B24</f>
        <v>34.3</v>
      </c>
      <c r="D25" s="978"/>
      <c r="E25" s="978">
        <f>SUM(0.5*D24,0.5*D26)</f>
        <v>1.78</v>
      </c>
      <c r="F25" s="978">
        <f>PRODUCT(C25,E25)</f>
        <v>61.05</v>
      </c>
      <c r="G25" s="1056"/>
    </row>
    <row r="26" spans="1:7" ht="12" customHeight="1">
      <c r="A26" s="982"/>
      <c r="B26" s="980">
        <v>938</v>
      </c>
      <c r="C26" s="980"/>
      <c r="D26" s="978">
        <v>2.2</v>
      </c>
      <c r="E26" s="978"/>
      <c r="F26" s="978"/>
      <c r="G26" s="1056"/>
    </row>
    <row r="27" spans="1:7" ht="12" customHeight="1">
      <c r="A27" s="982"/>
      <c r="B27" s="980"/>
      <c r="C27" s="218" t="s">
        <v>34</v>
      </c>
      <c r="D27" s="981"/>
      <c r="E27" s="282" t="s">
        <v>34</v>
      </c>
      <c r="F27" s="282" t="s">
        <v>34</v>
      </c>
      <c r="G27" s="1056"/>
    </row>
    <row r="28" spans="1:7" ht="12" customHeight="1">
      <c r="A28" s="287"/>
      <c r="B28" s="289"/>
      <c r="C28" s="289"/>
      <c r="D28" s="983" t="s">
        <v>353</v>
      </c>
      <c r="E28" s="983"/>
      <c r="F28" s="984">
        <f>SUM(F13:F26)</f>
        <v>226.45</v>
      </c>
      <c r="G28" s="1057"/>
    </row>
    <row r="29" spans="1:7" ht="12" customHeight="1">
      <c r="A29" s="290"/>
      <c r="B29" s="292"/>
      <c r="C29" s="292"/>
      <c r="D29" s="983"/>
      <c r="E29" s="983"/>
      <c r="F29" s="984"/>
      <c r="G29" s="1057"/>
    </row>
    <row r="30" spans="1:7" ht="12" customHeight="1">
      <c r="A30" s="304"/>
      <c r="B30" s="300"/>
      <c r="C30" s="300"/>
      <c r="D30" s="294"/>
      <c r="E30" s="294"/>
      <c r="F30" s="295"/>
      <c r="G30" s="1056"/>
    </row>
    <row r="31" spans="1:7" ht="12" customHeight="1">
      <c r="A31" s="991" t="s">
        <v>352</v>
      </c>
      <c r="B31" s="992"/>
      <c r="C31" s="992"/>
      <c r="D31" s="992"/>
      <c r="E31" s="992"/>
      <c r="F31" s="993"/>
      <c r="G31" s="1056"/>
    </row>
    <row r="32" spans="1:10" ht="12" customHeight="1">
      <c r="A32" s="994" t="s">
        <v>345</v>
      </c>
      <c r="B32" s="994" t="s">
        <v>346</v>
      </c>
      <c r="C32" s="994" t="s">
        <v>347</v>
      </c>
      <c r="D32" s="996" t="s">
        <v>407</v>
      </c>
      <c r="E32" s="996"/>
      <c r="F32" s="996"/>
      <c r="J32" s="224"/>
    </row>
    <row r="33" spans="1:10" ht="12" customHeight="1">
      <c r="A33" s="995"/>
      <c r="B33" s="995"/>
      <c r="C33" s="994"/>
      <c r="D33" s="994" t="s">
        <v>349</v>
      </c>
      <c r="E33" s="994" t="s">
        <v>350</v>
      </c>
      <c r="F33" s="994" t="s">
        <v>351</v>
      </c>
      <c r="J33" s="224"/>
    </row>
    <row r="34" spans="1:8" ht="12" customHeight="1">
      <c r="A34" s="995"/>
      <c r="B34" s="995"/>
      <c r="C34" s="994"/>
      <c r="D34" s="994"/>
      <c r="E34" s="994"/>
      <c r="F34" s="994"/>
      <c r="H34" s="224"/>
    </row>
    <row r="35" spans="1:6" ht="12" customHeight="1">
      <c r="A35" s="995"/>
      <c r="B35" s="995"/>
      <c r="C35" s="994"/>
      <c r="D35" s="994"/>
      <c r="E35" s="994"/>
      <c r="F35" s="994"/>
    </row>
    <row r="36" spans="1:6" ht="12.75">
      <c r="A36" s="982">
        <v>0</v>
      </c>
      <c r="B36" s="1003">
        <v>12</v>
      </c>
      <c r="C36" s="220" t="s">
        <v>34</v>
      </c>
      <c r="D36" s="1004">
        <v>2</v>
      </c>
      <c r="E36" s="221" t="s">
        <v>34</v>
      </c>
      <c r="F36" s="221" t="s">
        <v>34</v>
      </c>
    </row>
    <row r="37" spans="1:6" ht="12.75">
      <c r="A37" s="982"/>
      <c r="B37" s="980"/>
      <c r="C37" s="980">
        <f>B38-B36</f>
        <v>5.7</v>
      </c>
      <c r="D37" s="981"/>
      <c r="E37" s="978">
        <f>SUM(0.5*D36,0.5*D38)</f>
        <v>1.45</v>
      </c>
      <c r="F37" s="978">
        <f>PRODUCT(C37,E37)</f>
        <v>8.27</v>
      </c>
    </row>
    <row r="38" spans="1:6" ht="12.75">
      <c r="A38" s="982"/>
      <c r="B38" s="980">
        <v>17.7</v>
      </c>
      <c r="C38" s="980"/>
      <c r="D38" s="978">
        <v>0.9</v>
      </c>
      <c r="E38" s="978"/>
      <c r="F38" s="978"/>
    </row>
    <row r="39" spans="1:6" ht="12.75">
      <c r="A39" s="982"/>
      <c r="B39" s="980"/>
      <c r="C39" s="985">
        <f>B40-B38</f>
        <v>17.3</v>
      </c>
      <c r="D39" s="981"/>
      <c r="E39" s="978">
        <f>SUM(0.5*D38,0.5*D40)</f>
        <v>0.9</v>
      </c>
      <c r="F39" s="978">
        <f>PRODUCT(C39,E39)</f>
        <v>15.57</v>
      </c>
    </row>
    <row r="40" spans="1:6" ht="12.75">
      <c r="A40" s="982"/>
      <c r="B40" s="980">
        <v>35</v>
      </c>
      <c r="C40" s="986"/>
      <c r="D40" s="978">
        <v>0.9</v>
      </c>
      <c r="E40" s="978"/>
      <c r="F40" s="978"/>
    </row>
    <row r="41" spans="1:6" ht="12.75">
      <c r="A41" s="982"/>
      <c r="B41" s="980"/>
      <c r="C41" s="985">
        <f>B42-B40</f>
        <v>17</v>
      </c>
      <c r="D41" s="981"/>
      <c r="E41" s="978">
        <f>SUM(0.5*D40,0.5*D42)</f>
        <v>0.45</v>
      </c>
      <c r="F41" s="978">
        <f>PRODUCT(C41,E41)</f>
        <v>7.65</v>
      </c>
    </row>
    <row r="42" spans="1:6" ht="12.75">
      <c r="A42" s="982"/>
      <c r="B42" s="980">
        <v>52</v>
      </c>
      <c r="C42" s="986"/>
      <c r="D42" s="978">
        <v>0</v>
      </c>
      <c r="E42" s="978"/>
      <c r="F42" s="978"/>
    </row>
    <row r="43" spans="1:6" ht="13.5" thickBot="1">
      <c r="A43" s="982"/>
      <c r="B43" s="980"/>
      <c r="C43" s="218" t="s">
        <v>34</v>
      </c>
      <c r="D43" s="978"/>
      <c r="E43" s="219" t="s">
        <v>34</v>
      </c>
      <c r="F43" s="219" t="s">
        <v>34</v>
      </c>
    </row>
    <row r="44" spans="4:6" ht="12.75">
      <c r="D44" s="1061" t="s">
        <v>353</v>
      </c>
      <c r="E44" s="1062"/>
      <c r="F44" s="1065">
        <f>SUM(F37:F43)</f>
        <v>31.49</v>
      </c>
    </row>
    <row r="45" spans="3:6" ht="13.5" customHeight="1" thickBot="1">
      <c r="C45" s="214"/>
      <c r="D45" s="1063"/>
      <c r="E45" s="1064"/>
      <c r="F45" s="1066"/>
    </row>
  </sheetData>
  <sheetProtection/>
  <mergeCells count="89">
    <mergeCell ref="E1:G1"/>
    <mergeCell ref="H2:I2"/>
    <mergeCell ref="A3:F4"/>
    <mergeCell ref="A5:F6"/>
    <mergeCell ref="A7:F7"/>
    <mergeCell ref="A8:A11"/>
    <mergeCell ref="B8:B11"/>
    <mergeCell ref="C8:C11"/>
    <mergeCell ref="D8:F8"/>
    <mergeCell ref="D9:D11"/>
    <mergeCell ref="E9:E11"/>
    <mergeCell ref="F9:F11"/>
    <mergeCell ref="G11:G12"/>
    <mergeCell ref="A12:A27"/>
    <mergeCell ref="B12:B13"/>
    <mergeCell ref="D12:D13"/>
    <mergeCell ref="C13:C14"/>
    <mergeCell ref="E13:E14"/>
    <mergeCell ref="F13:F14"/>
    <mergeCell ref="G13:G14"/>
    <mergeCell ref="B14:B15"/>
    <mergeCell ref="D14:D15"/>
    <mergeCell ref="C15:C16"/>
    <mergeCell ref="E15:E16"/>
    <mergeCell ref="F15:F16"/>
    <mergeCell ref="G15:G16"/>
    <mergeCell ref="B16:B17"/>
    <mergeCell ref="D16:D17"/>
    <mergeCell ref="G17:G18"/>
    <mergeCell ref="B18:B19"/>
    <mergeCell ref="D18:D19"/>
    <mergeCell ref="C19:C20"/>
    <mergeCell ref="E19:E20"/>
    <mergeCell ref="F19:F20"/>
    <mergeCell ref="G19:G20"/>
    <mergeCell ref="B20:B21"/>
    <mergeCell ref="D20:D21"/>
    <mergeCell ref="C21:C22"/>
    <mergeCell ref="E21:E22"/>
    <mergeCell ref="F21:F22"/>
    <mergeCell ref="G21:G22"/>
    <mergeCell ref="E23:E24"/>
    <mergeCell ref="F23:F24"/>
    <mergeCell ref="C17:C18"/>
    <mergeCell ref="E17:E18"/>
    <mergeCell ref="F17:F18"/>
    <mergeCell ref="G23:G24"/>
    <mergeCell ref="B24:B25"/>
    <mergeCell ref="D24:D25"/>
    <mergeCell ref="C25:C26"/>
    <mergeCell ref="E25:E26"/>
    <mergeCell ref="F25:F26"/>
    <mergeCell ref="G25:G26"/>
    <mergeCell ref="B26:B27"/>
    <mergeCell ref="D26:D27"/>
    <mergeCell ref="G27:G31"/>
    <mergeCell ref="A31:F31"/>
    <mergeCell ref="D28:E29"/>
    <mergeCell ref="F28:F29"/>
    <mergeCell ref="B22:B23"/>
    <mergeCell ref="D22:D23"/>
    <mergeCell ref="C23:C24"/>
    <mergeCell ref="A32:A35"/>
    <mergeCell ref="B32:B35"/>
    <mergeCell ref="C32:C35"/>
    <mergeCell ref="D32:F32"/>
    <mergeCell ref="D33:D35"/>
    <mergeCell ref="E33:E35"/>
    <mergeCell ref="F33:F35"/>
    <mergeCell ref="F37:F38"/>
    <mergeCell ref="B38:B39"/>
    <mergeCell ref="D38:D39"/>
    <mergeCell ref="C39:C40"/>
    <mergeCell ref="E39:E40"/>
    <mergeCell ref="A36:A43"/>
    <mergeCell ref="B36:B37"/>
    <mergeCell ref="D36:D37"/>
    <mergeCell ref="C37:C38"/>
    <mergeCell ref="E37:E38"/>
    <mergeCell ref="D44:E45"/>
    <mergeCell ref="F44:F45"/>
    <mergeCell ref="F39:F40"/>
    <mergeCell ref="B40:B41"/>
    <mergeCell ref="D40:D41"/>
    <mergeCell ref="C41:C42"/>
    <mergeCell ref="E41:E42"/>
    <mergeCell ref="F41:F42"/>
    <mergeCell ref="B42:B43"/>
    <mergeCell ref="D42:D43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J45"/>
  <sheetViews>
    <sheetView view="pageBreakPreview" zoomScale="115" zoomScaleSheetLayoutView="115" zoomScalePageLayoutView="0" workbookViewId="0" topLeftCell="A1">
      <selection activeCell="V104" sqref="V104"/>
    </sheetView>
  </sheetViews>
  <sheetFormatPr defaultColWidth="9.00390625" defaultRowHeight="12.75"/>
  <cols>
    <col min="4" max="4" width="11.50390625" style="0" customWidth="1"/>
    <col min="5" max="5" width="11.00390625" style="0" customWidth="1"/>
    <col min="6" max="6" width="12.00390625" style="0" customWidth="1"/>
  </cols>
  <sheetData>
    <row r="1" spans="5:7" ht="18.75" customHeight="1">
      <c r="E1" s="1058" t="s">
        <v>408</v>
      </c>
      <c r="F1" s="1058"/>
      <c r="G1" s="1058"/>
    </row>
    <row r="2" spans="8:9" ht="12.75">
      <c r="H2" s="1059"/>
      <c r="I2" s="1059"/>
    </row>
    <row r="3" spans="1:9" ht="12.75" customHeight="1">
      <c r="A3" s="1060" t="s">
        <v>409</v>
      </c>
      <c r="B3" s="1060"/>
      <c r="C3" s="1060"/>
      <c r="D3" s="1060"/>
      <c r="E3" s="1060"/>
      <c r="F3" s="1060"/>
      <c r="G3" s="244"/>
      <c r="H3" s="244"/>
      <c r="I3" s="244"/>
    </row>
    <row r="4" spans="1:9" ht="30.75" customHeight="1">
      <c r="A4" s="1060"/>
      <c r="B4" s="1060"/>
      <c r="C4" s="1060"/>
      <c r="D4" s="1060"/>
      <c r="E4" s="1060"/>
      <c r="F4" s="1060"/>
      <c r="G4" s="244"/>
      <c r="H4" s="244"/>
      <c r="I4" s="244"/>
    </row>
    <row r="5" spans="1:9" ht="12.75" customHeight="1">
      <c r="A5" s="990" t="s">
        <v>447</v>
      </c>
      <c r="B5" s="990"/>
      <c r="C5" s="990"/>
      <c r="D5" s="990"/>
      <c r="E5" s="990"/>
      <c r="F5" s="990"/>
      <c r="G5" s="244"/>
      <c r="H5" s="244"/>
      <c r="I5" s="244"/>
    </row>
    <row r="6" spans="1:9" ht="63.75" customHeight="1">
      <c r="A6" s="990"/>
      <c r="B6" s="990"/>
      <c r="C6" s="990"/>
      <c r="D6" s="990"/>
      <c r="E6" s="990"/>
      <c r="F6" s="990"/>
      <c r="G6" s="216"/>
      <c r="H6" s="216"/>
      <c r="I6" s="216"/>
    </row>
    <row r="7" spans="1:6" ht="12.75" customHeight="1">
      <c r="A7" s="991" t="s">
        <v>344</v>
      </c>
      <c r="B7" s="992"/>
      <c r="C7" s="992"/>
      <c r="D7" s="992"/>
      <c r="E7" s="992"/>
      <c r="F7" s="993"/>
    </row>
    <row r="8" spans="1:6" ht="12.75" customHeight="1">
      <c r="A8" s="994" t="s">
        <v>345</v>
      </c>
      <c r="B8" s="994" t="s">
        <v>346</v>
      </c>
      <c r="C8" s="994" t="s">
        <v>347</v>
      </c>
      <c r="D8" s="996" t="s">
        <v>410</v>
      </c>
      <c r="E8" s="996"/>
      <c r="F8" s="996"/>
    </row>
    <row r="9" spans="1:6" ht="12.75">
      <c r="A9" s="995"/>
      <c r="B9" s="995"/>
      <c r="C9" s="994"/>
      <c r="D9" s="994" t="s">
        <v>349</v>
      </c>
      <c r="E9" s="994" t="s">
        <v>350</v>
      </c>
      <c r="F9" s="994" t="s">
        <v>351</v>
      </c>
    </row>
    <row r="10" spans="1:6" ht="12.75">
      <c r="A10" s="995"/>
      <c r="B10" s="995"/>
      <c r="C10" s="994"/>
      <c r="D10" s="994"/>
      <c r="E10" s="994"/>
      <c r="F10" s="994"/>
    </row>
    <row r="11" spans="1:7" ht="12" customHeight="1">
      <c r="A11" s="995"/>
      <c r="B11" s="995"/>
      <c r="C11" s="994"/>
      <c r="D11" s="994"/>
      <c r="E11" s="994"/>
      <c r="F11" s="994"/>
      <c r="G11" s="1056"/>
    </row>
    <row r="12" spans="1:7" ht="12" customHeight="1">
      <c r="A12" s="982">
        <v>13</v>
      </c>
      <c r="B12" s="980">
        <v>780</v>
      </c>
      <c r="C12" s="218" t="s">
        <v>34</v>
      </c>
      <c r="D12" s="978">
        <v>0</v>
      </c>
      <c r="E12" s="219" t="s">
        <v>34</v>
      </c>
      <c r="F12" s="219" t="s">
        <v>34</v>
      </c>
      <c r="G12" s="1056"/>
    </row>
    <row r="13" spans="1:7" ht="12" customHeight="1">
      <c r="A13" s="982"/>
      <c r="B13" s="980"/>
      <c r="C13" s="980">
        <f>B14-B12</f>
        <v>2.4</v>
      </c>
      <c r="D13" s="978"/>
      <c r="E13" s="978">
        <f>SUM(0.5*D12,0.5*D14)</f>
        <v>0.71</v>
      </c>
      <c r="F13" s="978">
        <f>PRODUCT(C13,E13)</f>
        <v>1.7</v>
      </c>
      <c r="G13" s="1056"/>
    </row>
    <row r="14" spans="1:7" ht="12" customHeight="1">
      <c r="A14" s="982"/>
      <c r="B14" s="980">
        <v>782.4</v>
      </c>
      <c r="C14" s="980"/>
      <c r="D14" s="981">
        <v>1.42</v>
      </c>
      <c r="E14" s="978"/>
      <c r="F14" s="978"/>
      <c r="G14" s="1056"/>
    </row>
    <row r="15" spans="1:7" ht="12" customHeight="1">
      <c r="A15" s="982"/>
      <c r="B15" s="980"/>
      <c r="C15" s="980">
        <f>B16-B14</f>
        <v>28.9</v>
      </c>
      <c r="D15" s="1004"/>
      <c r="E15" s="978">
        <f>SUM(0.5*D14,0.5*D16)</f>
        <v>1.42</v>
      </c>
      <c r="F15" s="978">
        <f>PRODUCT(C15,E15)</f>
        <v>41.04</v>
      </c>
      <c r="G15" s="1056"/>
    </row>
    <row r="16" spans="1:7" ht="12" customHeight="1">
      <c r="A16" s="982"/>
      <c r="B16" s="980">
        <v>811.3</v>
      </c>
      <c r="C16" s="980"/>
      <c r="D16" s="981">
        <v>1.42</v>
      </c>
      <c r="E16" s="978"/>
      <c r="F16" s="978"/>
      <c r="G16" s="1056"/>
    </row>
    <row r="17" spans="1:7" ht="12" customHeight="1">
      <c r="A17" s="982"/>
      <c r="B17" s="980"/>
      <c r="C17" s="980">
        <f>B18-B16</f>
        <v>18.7</v>
      </c>
      <c r="D17" s="1004"/>
      <c r="E17" s="978">
        <f>SUM(0.5*D16,0.5*D18)</f>
        <v>1.42</v>
      </c>
      <c r="F17" s="978">
        <f>PRODUCT(C17,E17)</f>
        <v>26.55</v>
      </c>
      <c r="G17" s="1056"/>
    </row>
    <row r="18" spans="1:7" ht="12" customHeight="1">
      <c r="A18" s="982"/>
      <c r="B18" s="980">
        <v>830</v>
      </c>
      <c r="C18" s="980"/>
      <c r="D18" s="981">
        <v>1.42</v>
      </c>
      <c r="E18" s="978"/>
      <c r="F18" s="978"/>
      <c r="G18" s="1056"/>
    </row>
    <row r="19" spans="1:7" ht="12" customHeight="1">
      <c r="A19" s="982"/>
      <c r="B19" s="980"/>
      <c r="C19" s="980">
        <f>B20-B18</f>
        <v>31.6</v>
      </c>
      <c r="D19" s="1004"/>
      <c r="E19" s="978">
        <f>SUM(0.5*D18,0.5*D20)</f>
        <v>1.42</v>
      </c>
      <c r="F19" s="978">
        <f>PRODUCT(C19,E19)</f>
        <v>44.87</v>
      </c>
      <c r="G19" s="1056"/>
    </row>
    <row r="20" spans="1:7" ht="12" customHeight="1">
      <c r="A20" s="982"/>
      <c r="B20" s="980">
        <v>861.6</v>
      </c>
      <c r="C20" s="980"/>
      <c r="D20" s="981">
        <v>1.42</v>
      </c>
      <c r="E20" s="978"/>
      <c r="F20" s="978"/>
      <c r="G20" s="1056"/>
    </row>
    <row r="21" spans="1:7" ht="12" customHeight="1">
      <c r="A21" s="982"/>
      <c r="B21" s="980"/>
      <c r="C21" s="980">
        <f>B22-B20</f>
        <v>18.4</v>
      </c>
      <c r="D21" s="1004"/>
      <c r="E21" s="978">
        <f>SUM(0.5*D20,0.5*D22)</f>
        <v>1.42</v>
      </c>
      <c r="F21" s="978">
        <f>PRODUCT(C21,E21)</f>
        <v>26.13</v>
      </c>
      <c r="G21" s="1056"/>
    </row>
    <row r="22" spans="1:7" ht="12" customHeight="1">
      <c r="A22" s="982"/>
      <c r="B22" s="980">
        <v>880</v>
      </c>
      <c r="C22" s="980"/>
      <c r="D22" s="981">
        <v>1.42</v>
      </c>
      <c r="E22" s="978"/>
      <c r="F22" s="978"/>
      <c r="G22" s="1056"/>
    </row>
    <row r="23" spans="1:7" ht="12" customHeight="1">
      <c r="A23" s="982"/>
      <c r="B23" s="980"/>
      <c r="C23" s="980">
        <f>B24-B22</f>
        <v>23.7</v>
      </c>
      <c r="D23" s="1004"/>
      <c r="E23" s="978">
        <f>SUM(0.5*D22,0.5*D24)</f>
        <v>1.42</v>
      </c>
      <c r="F23" s="978">
        <f>PRODUCT(C23,E23)</f>
        <v>33.65</v>
      </c>
      <c r="G23" s="1056"/>
    </row>
    <row r="24" spans="1:7" ht="12" customHeight="1">
      <c r="A24" s="982"/>
      <c r="B24" s="980">
        <v>903.7</v>
      </c>
      <c r="C24" s="980"/>
      <c r="D24" s="981">
        <v>1.42</v>
      </c>
      <c r="E24" s="978"/>
      <c r="F24" s="978"/>
      <c r="G24" s="1056"/>
    </row>
    <row r="25" spans="1:7" ht="12" customHeight="1">
      <c r="A25" s="982"/>
      <c r="B25" s="980"/>
      <c r="C25" s="980">
        <f>B26-B24</f>
        <v>34.3</v>
      </c>
      <c r="D25" s="1004"/>
      <c r="E25" s="978">
        <f>SUM(0.5*D24,0.5*D26)</f>
        <v>1.94</v>
      </c>
      <c r="F25" s="978">
        <f>PRODUCT(C25,E25)</f>
        <v>66.54</v>
      </c>
      <c r="G25" s="1056"/>
    </row>
    <row r="26" spans="1:7" ht="12" customHeight="1">
      <c r="A26" s="982"/>
      <c r="B26" s="980">
        <v>938</v>
      </c>
      <c r="C26" s="980"/>
      <c r="D26" s="978">
        <v>2.45</v>
      </c>
      <c r="E26" s="978"/>
      <c r="F26" s="978"/>
      <c r="G26" s="1056"/>
    </row>
    <row r="27" spans="1:7" ht="12" customHeight="1">
      <c r="A27" s="982"/>
      <c r="B27" s="980"/>
      <c r="C27" s="218" t="s">
        <v>34</v>
      </c>
      <c r="D27" s="981"/>
      <c r="E27" s="219" t="s">
        <v>34</v>
      </c>
      <c r="F27" s="219" t="s">
        <v>34</v>
      </c>
      <c r="G27" s="1056"/>
    </row>
    <row r="28" spans="1:7" ht="12" customHeight="1">
      <c r="A28" s="287"/>
      <c r="B28" s="289"/>
      <c r="C28" s="289"/>
      <c r="D28" s="983" t="s">
        <v>353</v>
      </c>
      <c r="E28" s="983"/>
      <c r="F28" s="984">
        <f>SUM(F13:F26)</f>
        <v>240.48</v>
      </c>
      <c r="G28" s="1057"/>
    </row>
    <row r="29" spans="1:7" ht="12" customHeight="1">
      <c r="A29" s="290"/>
      <c r="B29" s="292"/>
      <c r="C29" s="292"/>
      <c r="D29" s="983"/>
      <c r="E29" s="983"/>
      <c r="F29" s="984"/>
      <c r="G29" s="1057"/>
    </row>
    <row r="30" spans="1:7" ht="12" customHeight="1">
      <c r="A30" s="299"/>
      <c r="B30" s="300"/>
      <c r="C30" s="300"/>
      <c r="D30" s="301"/>
      <c r="E30" s="301"/>
      <c r="F30" s="301"/>
      <c r="G30" s="1057"/>
    </row>
    <row r="31" spans="1:7" ht="12" customHeight="1">
      <c r="A31" s="991" t="s">
        <v>352</v>
      </c>
      <c r="B31" s="992"/>
      <c r="C31" s="992"/>
      <c r="D31" s="992"/>
      <c r="E31" s="992"/>
      <c r="F31" s="993"/>
      <c r="G31" s="1056"/>
    </row>
    <row r="32" spans="1:10" ht="12" customHeight="1">
      <c r="A32" s="994" t="s">
        <v>345</v>
      </c>
      <c r="B32" s="994" t="s">
        <v>346</v>
      </c>
      <c r="C32" s="994" t="s">
        <v>347</v>
      </c>
      <c r="D32" s="996" t="s">
        <v>410</v>
      </c>
      <c r="E32" s="996"/>
      <c r="F32" s="996"/>
      <c r="J32" s="224"/>
    </row>
    <row r="33" spans="1:10" ht="12" customHeight="1">
      <c r="A33" s="995"/>
      <c r="B33" s="995"/>
      <c r="C33" s="994"/>
      <c r="D33" s="994" t="s">
        <v>349</v>
      </c>
      <c r="E33" s="994" t="s">
        <v>350</v>
      </c>
      <c r="F33" s="994" t="s">
        <v>351</v>
      </c>
      <c r="J33" s="224"/>
    </row>
    <row r="34" spans="1:8" ht="12" customHeight="1">
      <c r="A34" s="995"/>
      <c r="B34" s="995"/>
      <c r="C34" s="994"/>
      <c r="D34" s="994"/>
      <c r="E34" s="994"/>
      <c r="F34" s="994"/>
      <c r="H34" s="224"/>
    </row>
    <row r="35" spans="1:6" ht="12" customHeight="1">
      <c r="A35" s="995"/>
      <c r="B35" s="995"/>
      <c r="C35" s="994"/>
      <c r="D35" s="994"/>
      <c r="E35" s="994"/>
      <c r="F35" s="994"/>
    </row>
    <row r="36" spans="1:6" ht="12.75">
      <c r="A36" s="982">
        <v>0</v>
      </c>
      <c r="B36" s="1003">
        <v>12</v>
      </c>
      <c r="C36" s="220" t="s">
        <v>34</v>
      </c>
      <c r="D36" s="1004">
        <v>2.2</v>
      </c>
      <c r="E36" s="221" t="s">
        <v>34</v>
      </c>
      <c r="F36" s="221" t="s">
        <v>34</v>
      </c>
    </row>
    <row r="37" spans="1:6" ht="12.75">
      <c r="A37" s="982"/>
      <c r="B37" s="980"/>
      <c r="C37" s="980">
        <f>B38-B36</f>
        <v>5.7</v>
      </c>
      <c r="D37" s="981"/>
      <c r="E37" s="978">
        <f>SUM(0.5*D36,0.5*D38)</f>
        <v>1.6</v>
      </c>
      <c r="F37" s="978">
        <f>PRODUCT(C37,E37)</f>
        <v>9.12</v>
      </c>
    </row>
    <row r="38" spans="1:6" ht="12.75">
      <c r="A38" s="982"/>
      <c r="B38" s="980">
        <v>17.7</v>
      </c>
      <c r="C38" s="980"/>
      <c r="D38" s="978">
        <v>1</v>
      </c>
      <c r="E38" s="978"/>
      <c r="F38" s="978"/>
    </row>
    <row r="39" spans="1:6" ht="12.75">
      <c r="A39" s="982"/>
      <c r="B39" s="980"/>
      <c r="C39" s="985">
        <f>B40-B38</f>
        <v>17.3</v>
      </c>
      <c r="D39" s="981"/>
      <c r="E39" s="978">
        <f>SUM(0.5*D38,0.5*D40)</f>
        <v>1</v>
      </c>
      <c r="F39" s="978">
        <f>PRODUCT(C39,E39)</f>
        <v>17.3</v>
      </c>
    </row>
    <row r="40" spans="1:6" ht="12.75">
      <c r="A40" s="982"/>
      <c r="B40" s="980">
        <v>35</v>
      </c>
      <c r="C40" s="986"/>
      <c r="D40" s="978">
        <v>1</v>
      </c>
      <c r="E40" s="978"/>
      <c r="F40" s="978"/>
    </row>
    <row r="41" spans="1:6" ht="12.75">
      <c r="A41" s="982"/>
      <c r="B41" s="980"/>
      <c r="C41" s="985">
        <f>B42-B40</f>
        <v>17</v>
      </c>
      <c r="D41" s="981"/>
      <c r="E41" s="978">
        <f>SUM(0.5*D40,0.5*D42)</f>
        <v>0.5</v>
      </c>
      <c r="F41" s="978">
        <f>PRODUCT(C41,E41)</f>
        <v>8.5</v>
      </c>
    </row>
    <row r="42" spans="1:6" ht="12.75">
      <c r="A42" s="982"/>
      <c r="B42" s="980">
        <v>52</v>
      </c>
      <c r="C42" s="986"/>
      <c r="D42" s="978">
        <v>0</v>
      </c>
      <c r="E42" s="978"/>
      <c r="F42" s="978"/>
    </row>
    <row r="43" spans="1:6" ht="12.75">
      <c r="A43" s="982"/>
      <c r="B43" s="980"/>
      <c r="C43" s="218" t="s">
        <v>34</v>
      </c>
      <c r="D43" s="981"/>
      <c r="E43" s="282" t="s">
        <v>34</v>
      </c>
      <c r="F43" s="282" t="s">
        <v>34</v>
      </c>
    </row>
    <row r="44" spans="4:6" ht="12.75">
      <c r="D44" s="983" t="s">
        <v>353</v>
      </c>
      <c r="E44" s="983"/>
      <c r="F44" s="984">
        <f>SUM(F37:F43)</f>
        <v>34.92</v>
      </c>
    </row>
    <row r="45" spans="3:6" ht="13.5" customHeight="1">
      <c r="C45" s="214"/>
      <c r="D45" s="983"/>
      <c r="E45" s="983"/>
      <c r="F45" s="984"/>
    </row>
  </sheetData>
  <sheetProtection/>
  <mergeCells count="89">
    <mergeCell ref="E1:G1"/>
    <mergeCell ref="H2:I2"/>
    <mergeCell ref="A3:F4"/>
    <mergeCell ref="A5:F6"/>
    <mergeCell ref="A7:F7"/>
    <mergeCell ref="A8:A11"/>
    <mergeCell ref="B8:B11"/>
    <mergeCell ref="C8:C11"/>
    <mergeCell ref="D8:F8"/>
    <mergeCell ref="D9:D11"/>
    <mergeCell ref="E9:E11"/>
    <mergeCell ref="F9:F11"/>
    <mergeCell ref="G11:G12"/>
    <mergeCell ref="A12:A27"/>
    <mergeCell ref="B12:B13"/>
    <mergeCell ref="D12:D13"/>
    <mergeCell ref="C13:C14"/>
    <mergeCell ref="E13:E14"/>
    <mergeCell ref="F13:F14"/>
    <mergeCell ref="G13:G14"/>
    <mergeCell ref="B14:B15"/>
    <mergeCell ref="D14:D15"/>
    <mergeCell ref="C15:C16"/>
    <mergeCell ref="E15:E16"/>
    <mergeCell ref="F15:F16"/>
    <mergeCell ref="G15:G16"/>
    <mergeCell ref="B16:B17"/>
    <mergeCell ref="D16:D17"/>
    <mergeCell ref="G17:G18"/>
    <mergeCell ref="B18:B19"/>
    <mergeCell ref="D18:D19"/>
    <mergeCell ref="C19:C20"/>
    <mergeCell ref="E19:E20"/>
    <mergeCell ref="F19:F20"/>
    <mergeCell ref="G19:G20"/>
    <mergeCell ref="B20:B21"/>
    <mergeCell ref="D20:D21"/>
    <mergeCell ref="C21:C22"/>
    <mergeCell ref="E21:E22"/>
    <mergeCell ref="F21:F22"/>
    <mergeCell ref="G21:G22"/>
    <mergeCell ref="E23:E24"/>
    <mergeCell ref="F23:F24"/>
    <mergeCell ref="C17:C18"/>
    <mergeCell ref="E17:E18"/>
    <mergeCell ref="F17:F18"/>
    <mergeCell ref="G23:G24"/>
    <mergeCell ref="B24:B25"/>
    <mergeCell ref="D24:D25"/>
    <mergeCell ref="C25:C26"/>
    <mergeCell ref="E25:E26"/>
    <mergeCell ref="F25:F26"/>
    <mergeCell ref="G25:G26"/>
    <mergeCell ref="B26:B27"/>
    <mergeCell ref="D26:D27"/>
    <mergeCell ref="G27:G31"/>
    <mergeCell ref="A31:F31"/>
    <mergeCell ref="D28:E29"/>
    <mergeCell ref="F28:F29"/>
    <mergeCell ref="B22:B23"/>
    <mergeCell ref="D22:D23"/>
    <mergeCell ref="C23:C24"/>
    <mergeCell ref="A32:A35"/>
    <mergeCell ref="B32:B35"/>
    <mergeCell ref="C32:C35"/>
    <mergeCell ref="D32:F32"/>
    <mergeCell ref="D33:D35"/>
    <mergeCell ref="E33:E35"/>
    <mergeCell ref="F33:F35"/>
    <mergeCell ref="F37:F38"/>
    <mergeCell ref="B38:B39"/>
    <mergeCell ref="D38:D39"/>
    <mergeCell ref="C39:C40"/>
    <mergeCell ref="E39:E40"/>
    <mergeCell ref="A36:A43"/>
    <mergeCell ref="B36:B37"/>
    <mergeCell ref="D36:D37"/>
    <mergeCell ref="C37:C38"/>
    <mergeCell ref="E37:E38"/>
    <mergeCell ref="D44:E45"/>
    <mergeCell ref="F44:F45"/>
    <mergeCell ref="F39:F40"/>
    <mergeCell ref="B40:B41"/>
    <mergeCell ref="D40:D41"/>
    <mergeCell ref="C41:C42"/>
    <mergeCell ref="E41:E42"/>
    <mergeCell ref="F41:F42"/>
    <mergeCell ref="B42:B43"/>
    <mergeCell ref="D42:D43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3:J25"/>
  <sheetViews>
    <sheetView zoomScaleSheetLayoutView="100" zoomScalePageLayoutView="0" workbookViewId="0" topLeftCell="A1">
      <selection activeCell="A2" sqref="A2:K2"/>
    </sheetView>
  </sheetViews>
  <sheetFormatPr defaultColWidth="9.125" defaultRowHeight="12.75"/>
  <cols>
    <col min="1" max="1" width="14.50390625" style="95" customWidth="1"/>
    <col min="2" max="2" width="15.125" style="95" customWidth="1"/>
    <col min="3" max="3" width="9.125" style="95" customWidth="1"/>
    <col min="4" max="4" width="60.375" style="95" customWidth="1"/>
    <col min="5" max="5" width="20.625" style="95" customWidth="1"/>
    <col min="6" max="16384" width="9.125" style="95" customWidth="1"/>
  </cols>
  <sheetData>
    <row r="1" ht="12.75"/>
    <row r="2" ht="13.5" thickBot="1"/>
    <row r="3" spans="1:5" ht="18.75" customHeight="1" thickBot="1">
      <c r="A3" s="785" t="s">
        <v>46</v>
      </c>
      <c r="B3" s="786"/>
      <c r="C3" s="786"/>
      <c r="D3" s="786"/>
      <c r="E3" s="787"/>
    </row>
    <row r="4" spans="2:5" ht="18.75">
      <c r="B4" s="788"/>
      <c r="C4" s="788"/>
      <c r="D4" s="788"/>
      <c r="E4" s="788"/>
    </row>
    <row r="5" spans="1:5" ht="97.5" customHeight="1">
      <c r="A5" s="65" t="s">
        <v>40</v>
      </c>
      <c r="B5" s="789" t="e">
        <f>#REF!</f>
        <v>#REF!</v>
      </c>
      <c r="C5" s="789"/>
      <c r="D5" s="789"/>
      <c r="E5" s="789"/>
    </row>
    <row r="6" spans="2:5" ht="18" thickBot="1">
      <c r="B6" s="788"/>
      <c r="C6" s="788"/>
      <c r="D6" s="788"/>
      <c r="E6" s="788"/>
    </row>
    <row r="7" spans="1:5" ht="37.5" customHeight="1">
      <c r="A7" s="66" t="s">
        <v>87</v>
      </c>
      <c r="B7" s="67" t="s">
        <v>47</v>
      </c>
      <c r="C7" s="790" t="s">
        <v>48</v>
      </c>
      <c r="D7" s="791"/>
      <c r="E7" s="169" t="s">
        <v>49</v>
      </c>
    </row>
    <row r="8" spans="1:5" ht="27.75" customHeight="1">
      <c r="A8" s="68" t="s">
        <v>34</v>
      </c>
      <c r="B8" s="40" t="s">
        <v>33</v>
      </c>
      <c r="C8" s="772" t="s">
        <v>140</v>
      </c>
      <c r="D8" s="773"/>
      <c r="E8" s="170" t="s">
        <v>34</v>
      </c>
    </row>
    <row r="9" spans="1:5" ht="33" customHeight="1">
      <c r="A9" s="69" t="s">
        <v>88</v>
      </c>
      <c r="B9" s="41" t="s">
        <v>58</v>
      </c>
      <c r="C9" s="776" t="s">
        <v>50</v>
      </c>
      <c r="D9" s="777"/>
      <c r="E9" s="171"/>
    </row>
    <row r="10" spans="1:5" ht="24" customHeight="1">
      <c r="A10" s="768" t="s">
        <v>290</v>
      </c>
      <c r="B10" s="769"/>
      <c r="C10" s="769"/>
      <c r="D10" s="778"/>
      <c r="E10" s="174"/>
    </row>
    <row r="11" spans="1:5" ht="27.75" customHeight="1">
      <c r="A11" s="68" t="s">
        <v>34</v>
      </c>
      <c r="B11" s="40" t="s">
        <v>38</v>
      </c>
      <c r="C11" s="772" t="s">
        <v>231</v>
      </c>
      <c r="D11" s="773"/>
      <c r="E11" s="170" t="s">
        <v>34</v>
      </c>
    </row>
    <row r="12" spans="1:5" ht="15">
      <c r="A12" s="70" t="s">
        <v>89</v>
      </c>
      <c r="B12" s="42" t="s">
        <v>60</v>
      </c>
      <c r="C12" s="763" t="s">
        <v>51</v>
      </c>
      <c r="D12" s="764"/>
      <c r="E12" s="171"/>
    </row>
    <row r="13" spans="1:5" ht="15">
      <c r="A13" s="70" t="s">
        <v>90</v>
      </c>
      <c r="B13" s="42" t="s">
        <v>62</v>
      </c>
      <c r="C13" s="764" t="s">
        <v>80</v>
      </c>
      <c r="D13" s="779"/>
      <c r="E13" s="171"/>
    </row>
    <row r="14" spans="1:5" ht="18" customHeight="1">
      <c r="A14" s="70" t="s">
        <v>91</v>
      </c>
      <c r="B14" s="42" t="s">
        <v>52</v>
      </c>
      <c r="C14" s="764" t="s">
        <v>105</v>
      </c>
      <c r="D14" s="779"/>
      <c r="E14" s="171"/>
    </row>
    <row r="15" spans="1:5" ht="15">
      <c r="A15" s="70" t="s">
        <v>92</v>
      </c>
      <c r="B15" s="42" t="s">
        <v>53</v>
      </c>
      <c r="C15" s="764" t="s">
        <v>54</v>
      </c>
      <c r="D15" s="779"/>
      <c r="E15" s="171"/>
    </row>
    <row r="16" spans="1:5" ht="15">
      <c r="A16" s="70" t="s">
        <v>93</v>
      </c>
      <c r="B16" s="42" t="s">
        <v>65</v>
      </c>
      <c r="C16" s="780" t="s">
        <v>55</v>
      </c>
      <c r="D16" s="781"/>
      <c r="E16" s="171"/>
    </row>
    <row r="17" spans="1:5" ht="15">
      <c r="A17" s="70" t="s">
        <v>94</v>
      </c>
      <c r="B17" s="42" t="s">
        <v>67</v>
      </c>
      <c r="C17" s="780" t="s">
        <v>56</v>
      </c>
      <c r="D17" s="781"/>
      <c r="E17" s="171"/>
    </row>
    <row r="18" spans="1:5" ht="31.5" customHeight="1">
      <c r="A18" s="70" t="s">
        <v>106</v>
      </c>
      <c r="B18" s="42" t="s">
        <v>101</v>
      </c>
      <c r="C18" s="781" t="s">
        <v>137</v>
      </c>
      <c r="D18" s="782"/>
      <c r="E18" s="171"/>
    </row>
    <row r="19" spans="1:5" ht="16.5" customHeight="1" thickBot="1">
      <c r="A19" s="167" t="s">
        <v>138</v>
      </c>
      <c r="B19" s="168" t="s">
        <v>33</v>
      </c>
      <c r="C19" s="783" t="s">
        <v>57</v>
      </c>
      <c r="D19" s="784"/>
      <c r="E19" s="172"/>
    </row>
    <row r="20" spans="1:5" ht="32.25" customHeight="1" hidden="1">
      <c r="A20" s="165" t="s">
        <v>34</v>
      </c>
      <c r="B20" s="166" t="s">
        <v>139</v>
      </c>
      <c r="C20" s="774" t="s">
        <v>209</v>
      </c>
      <c r="D20" s="775"/>
      <c r="E20" s="173" t="s">
        <v>34</v>
      </c>
    </row>
    <row r="21" spans="1:5" ht="25.5" customHeight="1" hidden="1">
      <c r="A21" s="70" t="s">
        <v>210</v>
      </c>
      <c r="B21" s="42" t="s">
        <v>211</v>
      </c>
      <c r="C21" s="763" t="s">
        <v>224</v>
      </c>
      <c r="D21" s="764"/>
      <c r="E21" s="171">
        <v>0</v>
      </c>
    </row>
    <row r="22" spans="1:10" ht="25.5" customHeight="1">
      <c r="A22" s="765" t="s">
        <v>291</v>
      </c>
      <c r="B22" s="766"/>
      <c r="C22" s="766"/>
      <c r="D22" s="767"/>
      <c r="E22" s="174"/>
      <c r="J22" s="176"/>
    </row>
    <row r="23" spans="1:5" ht="23.25" customHeight="1">
      <c r="A23" s="768" t="s">
        <v>292</v>
      </c>
      <c r="B23" s="769"/>
      <c r="C23" s="769"/>
      <c r="D23" s="769"/>
      <c r="E23" s="174"/>
    </row>
    <row r="24" spans="1:5" ht="23.25" customHeight="1">
      <c r="A24" s="768" t="s">
        <v>81</v>
      </c>
      <c r="B24" s="769"/>
      <c r="C24" s="769"/>
      <c r="D24" s="769"/>
      <c r="E24" s="174"/>
    </row>
    <row r="25" spans="1:5" ht="23.25" customHeight="1" thickBot="1">
      <c r="A25" s="770" t="s">
        <v>95</v>
      </c>
      <c r="B25" s="771"/>
      <c r="C25" s="771"/>
      <c r="D25" s="771"/>
      <c r="E25" s="175"/>
    </row>
  </sheetData>
  <sheetProtection/>
  <mergeCells count="23">
    <mergeCell ref="A3:E3"/>
    <mergeCell ref="B4:E4"/>
    <mergeCell ref="B5:E5"/>
    <mergeCell ref="B6:E6"/>
    <mergeCell ref="C7:D7"/>
    <mergeCell ref="C8:D8"/>
    <mergeCell ref="C20:D20"/>
    <mergeCell ref="C9:D9"/>
    <mergeCell ref="A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1:D21"/>
    <mergeCell ref="A22:D22"/>
    <mergeCell ref="A23:D23"/>
    <mergeCell ref="A24:D24"/>
    <mergeCell ref="A25:D25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V199"/>
  <sheetViews>
    <sheetView view="pageBreakPreview" zoomScaleSheetLayoutView="100" zoomScalePageLayoutView="0" workbookViewId="0" topLeftCell="A1">
      <selection activeCell="A2" sqref="A2:K2"/>
    </sheetView>
  </sheetViews>
  <sheetFormatPr defaultColWidth="9.125" defaultRowHeight="12.75"/>
  <cols>
    <col min="1" max="1" width="10.375" style="21" customWidth="1"/>
    <col min="2" max="2" width="15.50390625" style="49" customWidth="1"/>
    <col min="3" max="3" width="65.625" style="52" customWidth="1"/>
    <col min="4" max="4" width="10.50390625" style="53" customWidth="1"/>
    <col min="5" max="5" width="9.625" style="22" hidden="1" customWidth="1"/>
    <col min="6" max="6" width="10.625" style="24" customWidth="1"/>
    <col min="7" max="7" width="6.125" style="49" hidden="1" customWidth="1"/>
    <col min="8" max="8" width="12.125" style="49" hidden="1" customWidth="1"/>
    <col min="9" max="9" width="1.875" style="49" hidden="1" customWidth="1"/>
    <col min="10" max="10" width="10.50390625" style="22" customWidth="1"/>
    <col min="11" max="11" width="13.50390625" style="210" customWidth="1"/>
    <col min="12" max="13" width="9.125" style="49" customWidth="1"/>
    <col min="14" max="14" width="0" style="306" hidden="1" customWidth="1"/>
    <col min="15" max="15" width="13.50390625" style="317" hidden="1" customWidth="1"/>
    <col min="16" max="16384" width="9.125" style="49" customWidth="1"/>
  </cols>
  <sheetData>
    <row r="1" spans="1:15" s="4" customFormat="1" ht="31.5" customHeight="1">
      <c r="A1" s="830" t="s">
        <v>501</v>
      </c>
      <c r="B1" s="831"/>
      <c r="C1" s="831"/>
      <c r="D1" s="831"/>
      <c r="E1" s="831"/>
      <c r="F1" s="831"/>
      <c r="G1" s="831"/>
      <c r="H1" s="831"/>
      <c r="I1" s="831"/>
      <c r="J1" s="831"/>
      <c r="K1" s="832"/>
      <c r="N1" s="305"/>
      <c r="O1" s="316"/>
    </row>
    <row r="2" spans="1:15" s="4" customFormat="1" ht="35.25" customHeight="1">
      <c r="A2" s="833" t="e">
        <f>KO2!B5</f>
        <v>#REF!</v>
      </c>
      <c r="B2" s="834"/>
      <c r="C2" s="834"/>
      <c r="D2" s="834"/>
      <c r="E2" s="834"/>
      <c r="F2" s="834"/>
      <c r="G2" s="834"/>
      <c r="H2" s="834"/>
      <c r="I2" s="834"/>
      <c r="J2" s="834"/>
      <c r="K2" s="835"/>
      <c r="N2" s="305"/>
      <c r="O2" s="316"/>
    </row>
    <row r="3" spans="1:15" ht="40.5" customHeight="1">
      <c r="A3" s="86" t="s">
        <v>3</v>
      </c>
      <c r="B3" s="98" t="s">
        <v>228</v>
      </c>
      <c r="C3" s="97" t="s">
        <v>215</v>
      </c>
      <c r="D3" s="97" t="s">
        <v>5</v>
      </c>
      <c r="E3" s="26" t="s">
        <v>6</v>
      </c>
      <c r="F3" s="100" t="s">
        <v>6</v>
      </c>
      <c r="G3" s="130"/>
      <c r="H3" s="26" t="s">
        <v>70</v>
      </c>
      <c r="I3" s="26" t="s">
        <v>71</v>
      </c>
      <c r="J3" s="100" t="s">
        <v>214</v>
      </c>
      <c r="K3" s="116" t="s">
        <v>71</v>
      </c>
      <c r="N3" s="306" t="s">
        <v>494</v>
      </c>
      <c r="O3" s="317" t="s">
        <v>495</v>
      </c>
    </row>
    <row r="4" spans="1:11" ht="19.5" customHeight="1">
      <c r="A4" s="27" t="s">
        <v>33</v>
      </c>
      <c r="B4" s="827" t="s">
        <v>140</v>
      </c>
      <c r="C4" s="828"/>
      <c r="D4" s="828"/>
      <c r="E4" s="828"/>
      <c r="F4" s="828"/>
      <c r="G4" s="828"/>
      <c r="H4" s="828"/>
      <c r="I4" s="828"/>
      <c r="J4" s="828"/>
      <c r="K4" s="829"/>
    </row>
    <row r="5" spans="1:11" ht="21.75" customHeight="1">
      <c r="A5" s="28" t="s">
        <v>58</v>
      </c>
      <c r="B5" s="25" t="s">
        <v>73</v>
      </c>
      <c r="C5" s="816" t="s">
        <v>50</v>
      </c>
      <c r="D5" s="816"/>
      <c r="E5" s="816"/>
      <c r="F5" s="816"/>
      <c r="G5" s="816"/>
      <c r="H5" s="816"/>
      <c r="I5" s="816"/>
      <c r="J5" s="816"/>
      <c r="K5" s="817"/>
    </row>
    <row r="6" spans="1:11" ht="18.75" customHeight="1">
      <c r="A6" s="84" t="s">
        <v>34</v>
      </c>
      <c r="B6" s="85" t="s">
        <v>69</v>
      </c>
      <c r="C6" s="814" t="s">
        <v>109</v>
      </c>
      <c r="D6" s="814"/>
      <c r="E6" s="814"/>
      <c r="F6" s="814"/>
      <c r="G6" s="814"/>
      <c r="H6" s="814"/>
      <c r="I6" s="814"/>
      <c r="J6" s="814"/>
      <c r="K6" s="815"/>
    </row>
    <row r="7" spans="1:15" s="164" customFormat="1" ht="18.75" customHeight="1">
      <c r="A7" s="86" t="s">
        <v>110</v>
      </c>
      <c r="B7" s="87" t="str">
        <f aca="true" t="shared" si="0" ref="B7:B13">B6</f>
        <v>00.00.00</v>
      </c>
      <c r="C7" s="340" t="s">
        <v>143</v>
      </c>
      <c r="D7" s="106" t="s">
        <v>446</v>
      </c>
      <c r="E7" s="341">
        <v>2</v>
      </c>
      <c r="F7" s="341">
        <v>1</v>
      </c>
      <c r="G7" s="270"/>
      <c r="H7" s="271"/>
      <c r="I7" s="271"/>
      <c r="J7" s="206"/>
      <c r="K7" s="207"/>
      <c r="N7" s="307"/>
      <c r="O7" s="318"/>
    </row>
    <row r="8" spans="1:11" ht="40.5" customHeight="1">
      <c r="A8" s="86" t="s">
        <v>111</v>
      </c>
      <c r="B8" s="87" t="str">
        <f t="shared" si="0"/>
        <v>00.00.00</v>
      </c>
      <c r="C8" s="340" t="s">
        <v>197</v>
      </c>
      <c r="D8" s="106" t="str">
        <f aca="true" t="shared" si="1" ref="D8:D13">D7</f>
        <v>ryczałt</v>
      </c>
      <c r="E8" s="341">
        <v>1</v>
      </c>
      <c r="F8" s="341">
        <f aca="true" t="shared" si="2" ref="F8:F13">E8</f>
        <v>1</v>
      </c>
      <c r="G8" s="270"/>
      <c r="H8" s="271"/>
      <c r="I8" s="271"/>
      <c r="J8" s="206"/>
      <c r="K8" s="207"/>
    </row>
    <row r="9" spans="1:11" ht="20.25" customHeight="1">
      <c r="A9" s="86" t="s">
        <v>112</v>
      </c>
      <c r="B9" s="87" t="str">
        <f t="shared" si="0"/>
        <v>00.00.00</v>
      </c>
      <c r="C9" s="340" t="s">
        <v>229</v>
      </c>
      <c r="D9" s="106" t="str">
        <f t="shared" si="1"/>
        <v>ryczałt</v>
      </c>
      <c r="E9" s="341">
        <v>1</v>
      </c>
      <c r="F9" s="341">
        <f t="shared" si="2"/>
        <v>1</v>
      </c>
      <c r="G9" s="270"/>
      <c r="H9" s="271"/>
      <c r="I9" s="271"/>
      <c r="J9" s="206"/>
      <c r="K9" s="207"/>
    </row>
    <row r="10" spans="1:11" ht="44.25" customHeight="1">
      <c r="A10" s="86" t="s">
        <v>113</v>
      </c>
      <c r="B10" s="87" t="str">
        <f t="shared" si="0"/>
        <v>00.00.00</v>
      </c>
      <c r="C10" s="340" t="s">
        <v>230</v>
      </c>
      <c r="D10" s="106" t="str">
        <f t="shared" si="1"/>
        <v>ryczałt</v>
      </c>
      <c r="E10" s="341">
        <v>1</v>
      </c>
      <c r="F10" s="341">
        <f t="shared" si="2"/>
        <v>1</v>
      </c>
      <c r="G10" s="270"/>
      <c r="H10" s="271"/>
      <c r="I10" s="271"/>
      <c r="J10" s="206"/>
      <c r="K10" s="207"/>
    </row>
    <row r="11" spans="1:11" ht="28.5" customHeight="1">
      <c r="A11" s="86" t="s">
        <v>114</v>
      </c>
      <c r="B11" s="87" t="str">
        <f>B10</f>
        <v>00.00.00</v>
      </c>
      <c r="C11" s="340" t="s">
        <v>449</v>
      </c>
      <c r="D11" s="106" t="str">
        <f t="shared" si="1"/>
        <v>ryczałt</v>
      </c>
      <c r="E11" s="341">
        <v>2</v>
      </c>
      <c r="F11" s="341">
        <v>1</v>
      </c>
      <c r="G11" s="270"/>
      <c r="H11" s="271"/>
      <c r="I11" s="271"/>
      <c r="J11" s="206"/>
      <c r="K11" s="207"/>
    </row>
    <row r="12" spans="1:11" ht="28.5" customHeight="1">
      <c r="A12" s="86" t="s">
        <v>115</v>
      </c>
      <c r="B12" s="87" t="str">
        <f t="shared" si="0"/>
        <v>00.00.00</v>
      </c>
      <c r="C12" s="340" t="s">
        <v>450</v>
      </c>
      <c r="D12" s="106" t="str">
        <f t="shared" si="1"/>
        <v>ryczałt</v>
      </c>
      <c r="E12" s="341">
        <v>1</v>
      </c>
      <c r="F12" s="341">
        <f t="shared" si="2"/>
        <v>1</v>
      </c>
      <c r="G12" s="270"/>
      <c r="H12" s="271"/>
      <c r="I12" s="271"/>
      <c r="J12" s="206"/>
      <c r="K12" s="207"/>
    </row>
    <row r="13" spans="1:13" ht="76.5">
      <c r="A13" s="86" t="s">
        <v>144</v>
      </c>
      <c r="B13" s="87" t="str">
        <f t="shared" si="0"/>
        <v>00.00.00</v>
      </c>
      <c r="C13" s="340" t="s">
        <v>445</v>
      </c>
      <c r="D13" s="106" t="str">
        <f t="shared" si="1"/>
        <v>ryczałt</v>
      </c>
      <c r="E13" s="341">
        <v>1</v>
      </c>
      <c r="F13" s="341">
        <f t="shared" si="2"/>
        <v>1</v>
      </c>
      <c r="G13" s="270"/>
      <c r="H13" s="271"/>
      <c r="I13" s="271"/>
      <c r="J13" s="206"/>
      <c r="K13" s="207"/>
      <c r="M13" s="157"/>
    </row>
    <row r="14" spans="1:13" ht="25.5" customHeight="1">
      <c r="A14" s="824" t="s">
        <v>435</v>
      </c>
      <c r="B14" s="825"/>
      <c r="C14" s="825"/>
      <c r="D14" s="825"/>
      <c r="E14" s="825"/>
      <c r="F14" s="825"/>
      <c r="G14" s="825"/>
      <c r="H14" s="825"/>
      <c r="I14" s="825"/>
      <c r="J14" s="826"/>
      <c r="K14" s="263"/>
      <c r="M14" s="157"/>
    </row>
    <row r="15" spans="1:11" ht="20.25" customHeight="1">
      <c r="A15" s="27" t="s">
        <v>38</v>
      </c>
      <c r="B15" s="827" t="s">
        <v>451</v>
      </c>
      <c r="C15" s="828"/>
      <c r="D15" s="828"/>
      <c r="E15" s="828"/>
      <c r="F15" s="828"/>
      <c r="G15" s="828"/>
      <c r="H15" s="828"/>
      <c r="I15" s="828"/>
      <c r="J15" s="828"/>
      <c r="K15" s="829"/>
    </row>
    <row r="16" spans="1:15" s="1" customFormat="1" ht="27" customHeight="1">
      <c r="A16" s="28" t="s">
        <v>60</v>
      </c>
      <c r="B16" s="25" t="s">
        <v>59</v>
      </c>
      <c r="C16" s="816" t="s">
        <v>198</v>
      </c>
      <c r="D16" s="816"/>
      <c r="E16" s="816"/>
      <c r="F16" s="816"/>
      <c r="G16" s="816"/>
      <c r="H16" s="816"/>
      <c r="I16" s="816"/>
      <c r="J16" s="816"/>
      <c r="K16" s="817"/>
      <c r="N16" s="308"/>
      <c r="O16" s="319"/>
    </row>
    <row r="17" spans="1:11" ht="18" customHeight="1">
      <c r="A17" s="84" t="s">
        <v>34</v>
      </c>
      <c r="B17" s="96" t="s">
        <v>13</v>
      </c>
      <c r="C17" s="814" t="s">
        <v>116</v>
      </c>
      <c r="D17" s="814"/>
      <c r="E17" s="814"/>
      <c r="F17" s="814"/>
      <c r="G17" s="814"/>
      <c r="H17" s="814"/>
      <c r="I17" s="814"/>
      <c r="J17" s="814"/>
      <c r="K17" s="815"/>
    </row>
    <row r="18" spans="1:15" s="275" customFormat="1" ht="18.75" customHeight="1">
      <c r="A18" s="86">
        <v>2</v>
      </c>
      <c r="B18" s="98" t="s">
        <v>145</v>
      </c>
      <c r="C18" s="99" t="s">
        <v>232</v>
      </c>
      <c r="D18" s="97" t="s">
        <v>223</v>
      </c>
      <c r="E18" s="272" t="s">
        <v>34</v>
      </c>
      <c r="F18" s="101">
        <f>F19</f>
        <v>0.24</v>
      </c>
      <c r="G18" s="273"/>
      <c r="H18" s="274">
        <v>3524.44</v>
      </c>
      <c r="I18" s="274">
        <f>H18*F18</f>
        <v>845.87</v>
      </c>
      <c r="J18" s="206"/>
      <c r="K18" s="207"/>
      <c r="N18" s="309"/>
      <c r="O18" s="320"/>
    </row>
    <row r="19" spans="1:11" ht="90" customHeight="1" hidden="1">
      <c r="A19" s="147"/>
      <c r="B19" s="102"/>
      <c r="C19" s="103" t="s">
        <v>452</v>
      </c>
      <c r="D19" s="104" t="s">
        <v>223</v>
      </c>
      <c r="E19" s="105">
        <v>1</v>
      </c>
      <c r="F19" s="104">
        <v>0.24</v>
      </c>
      <c r="G19" s="130"/>
      <c r="H19" s="43"/>
      <c r="I19" s="43"/>
      <c r="J19" s="106"/>
      <c r="K19" s="121"/>
    </row>
    <row r="20" spans="1:15" s="164" customFormat="1" ht="18" customHeight="1">
      <c r="A20" s="84" t="s">
        <v>34</v>
      </c>
      <c r="B20" s="85" t="s">
        <v>14</v>
      </c>
      <c r="C20" s="814" t="s">
        <v>117</v>
      </c>
      <c r="D20" s="814"/>
      <c r="E20" s="814"/>
      <c r="F20" s="814"/>
      <c r="G20" s="814"/>
      <c r="H20" s="814"/>
      <c r="I20" s="814"/>
      <c r="J20" s="814"/>
      <c r="K20" s="815"/>
      <c r="N20" s="307"/>
      <c r="O20" s="318"/>
    </row>
    <row r="21" spans="1:15" s="14" customFormat="1" ht="28.5" customHeight="1">
      <c r="A21" s="86">
        <v>3</v>
      </c>
      <c r="B21" s="98" t="s">
        <v>74</v>
      </c>
      <c r="C21" s="99" t="s">
        <v>293</v>
      </c>
      <c r="D21" s="97" t="s">
        <v>199</v>
      </c>
      <c r="E21" s="101" t="s">
        <v>34</v>
      </c>
      <c r="F21" s="101">
        <f>PR2_pozwolenie!F20</f>
        <v>214</v>
      </c>
      <c r="G21" s="133"/>
      <c r="H21" s="43">
        <v>0.48</v>
      </c>
      <c r="I21" s="43">
        <f>H21*F21</f>
        <v>102.72</v>
      </c>
      <c r="J21" s="106"/>
      <c r="K21" s="121"/>
      <c r="N21" s="310">
        <v>23.38</v>
      </c>
      <c r="O21" s="321">
        <f>J21*N21</f>
        <v>0</v>
      </c>
    </row>
    <row r="22" spans="1:15" ht="65.25" customHeight="1" hidden="1">
      <c r="A22" s="86"/>
      <c r="B22" s="102"/>
      <c r="C22" s="103" t="s">
        <v>311</v>
      </c>
      <c r="D22" s="104" t="s">
        <v>200</v>
      </c>
      <c r="E22" s="105">
        <v>105.14</v>
      </c>
      <c r="F22" s="101" t="s">
        <v>34</v>
      </c>
      <c r="G22" s="133"/>
      <c r="H22" s="43"/>
      <c r="I22" s="43"/>
      <c r="J22" s="206"/>
      <c r="K22" s="207"/>
      <c r="O22" s="321">
        <f aca="true" t="shared" si="3" ref="O22:O52">J22*N22</f>
        <v>0</v>
      </c>
    </row>
    <row r="23" spans="1:15" ht="31.5" customHeight="1">
      <c r="A23" s="86">
        <v>4</v>
      </c>
      <c r="B23" s="98" t="s">
        <v>295</v>
      </c>
      <c r="C23" s="99" t="s">
        <v>294</v>
      </c>
      <c r="D23" s="97" t="s">
        <v>199</v>
      </c>
      <c r="E23" s="101" t="s">
        <v>34</v>
      </c>
      <c r="F23" s="101">
        <f>PR2_pozwolenie!F22</f>
        <v>0</v>
      </c>
      <c r="G23" s="133"/>
      <c r="H23" s="43"/>
      <c r="I23" s="43"/>
      <c r="J23" s="106"/>
      <c r="K23" s="121"/>
      <c r="N23" s="306">
        <v>73.45</v>
      </c>
      <c r="O23" s="321">
        <f t="shared" si="3"/>
        <v>0</v>
      </c>
    </row>
    <row r="24" spans="1:15" ht="52.5" customHeight="1" hidden="1">
      <c r="A24" s="86"/>
      <c r="B24" s="102"/>
      <c r="C24" s="103" t="s">
        <v>312</v>
      </c>
      <c r="D24" s="104" t="s">
        <v>200</v>
      </c>
      <c r="E24" s="105">
        <v>306.77</v>
      </c>
      <c r="F24" s="105" t="s">
        <v>34</v>
      </c>
      <c r="G24" s="130"/>
      <c r="H24" s="43"/>
      <c r="I24" s="43"/>
      <c r="J24" s="206"/>
      <c r="K24" s="207"/>
      <c r="O24" s="321">
        <f t="shared" si="3"/>
        <v>0</v>
      </c>
    </row>
    <row r="25" spans="1:15" s="164" customFormat="1" ht="18" customHeight="1">
      <c r="A25" s="84" t="s">
        <v>34</v>
      </c>
      <c r="B25" s="85" t="s">
        <v>15</v>
      </c>
      <c r="C25" s="814" t="s">
        <v>10</v>
      </c>
      <c r="D25" s="814"/>
      <c r="E25" s="814"/>
      <c r="F25" s="814"/>
      <c r="G25" s="814"/>
      <c r="H25" s="814"/>
      <c r="I25" s="814"/>
      <c r="J25" s="814"/>
      <c r="K25" s="815"/>
      <c r="N25" s="307"/>
      <c r="O25" s="321">
        <f t="shared" si="3"/>
        <v>0</v>
      </c>
    </row>
    <row r="26" spans="1:15" s="164" customFormat="1" ht="18" customHeight="1">
      <c r="A26" s="86">
        <v>5</v>
      </c>
      <c r="B26" s="98" t="s">
        <v>30</v>
      </c>
      <c r="C26" s="99" t="s">
        <v>233</v>
      </c>
      <c r="D26" s="97" t="s">
        <v>199</v>
      </c>
      <c r="E26" s="101" t="s">
        <v>34</v>
      </c>
      <c r="F26" s="101">
        <f>PR2_pozwolenie!F25</f>
        <v>212.94</v>
      </c>
      <c r="G26" s="133"/>
      <c r="H26" s="283"/>
      <c r="I26" s="283"/>
      <c r="J26" s="106"/>
      <c r="K26" s="121"/>
      <c r="N26" s="307">
        <v>21.25</v>
      </c>
      <c r="O26" s="321">
        <f t="shared" si="3"/>
        <v>0</v>
      </c>
    </row>
    <row r="27" spans="1:15" s="164" customFormat="1" ht="81" customHeight="1" hidden="1">
      <c r="A27" s="86"/>
      <c r="B27" s="102"/>
      <c r="C27" s="103" t="s">
        <v>234</v>
      </c>
      <c r="D27" s="104" t="s">
        <v>200</v>
      </c>
      <c r="E27" s="105">
        <f>2.5+26.8+21.25</f>
        <v>50.55</v>
      </c>
      <c r="F27" s="101" t="str">
        <f>PR2_pozwolenie!F26</f>
        <v>x</v>
      </c>
      <c r="G27" s="133"/>
      <c r="H27" s="283"/>
      <c r="I27" s="283"/>
      <c r="J27" s="106"/>
      <c r="K27" s="121"/>
      <c r="N27" s="307"/>
      <c r="O27" s="321">
        <f t="shared" si="3"/>
        <v>0</v>
      </c>
    </row>
    <row r="28" spans="1:15" ht="43.5" customHeight="1" hidden="1">
      <c r="A28" s="93" t="s">
        <v>237</v>
      </c>
      <c r="B28" s="94" t="str">
        <f>B26</f>
        <v>01.02.04.11</v>
      </c>
      <c r="C28" s="90" t="s">
        <v>235</v>
      </c>
      <c r="D28" s="91" t="s">
        <v>201</v>
      </c>
      <c r="E28" s="92">
        <f>E27*0.15</f>
        <v>7.58</v>
      </c>
      <c r="F28" s="101">
        <f>PR2_pozwolenie!F27</f>
        <v>42.59</v>
      </c>
      <c r="G28" s="133"/>
      <c r="H28" s="283"/>
      <c r="I28" s="283"/>
      <c r="J28" s="106"/>
      <c r="K28" s="121"/>
      <c r="O28" s="321">
        <f t="shared" si="3"/>
        <v>0</v>
      </c>
    </row>
    <row r="29" spans="1:15" s="14" customFormat="1" ht="19.5" customHeight="1">
      <c r="A29" s="86">
        <v>6</v>
      </c>
      <c r="B29" s="98" t="s">
        <v>119</v>
      </c>
      <c r="C29" s="99" t="s">
        <v>118</v>
      </c>
      <c r="D29" s="97" t="s">
        <v>199</v>
      </c>
      <c r="E29" s="101" t="s">
        <v>34</v>
      </c>
      <c r="F29" s="101">
        <f>PR2_pozwolenie!F28</f>
        <v>23.1</v>
      </c>
      <c r="G29" s="133"/>
      <c r="H29" s="43">
        <v>13.88</v>
      </c>
      <c r="I29" s="43">
        <f>H29*F29</f>
        <v>320.63</v>
      </c>
      <c r="J29" s="106"/>
      <c r="K29" s="121"/>
      <c r="N29" s="310">
        <v>18.4</v>
      </c>
      <c r="O29" s="321">
        <f t="shared" si="3"/>
        <v>0</v>
      </c>
    </row>
    <row r="30" spans="1:15" s="164" customFormat="1" ht="64.5" customHeight="1" hidden="1">
      <c r="A30" s="86"/>
      <c r="B30" s="102"/>
      <c r="C30" s="103" t="s">
        <v>236</v>
      </c>
      <c r="D30" s="104" t="s">
        <v>200</v>
      </c>
      <c r="E30" s="105">
        <f>12.96+17.3+18.4</f>
        <v>48.66</v>
      </c>
      <c r="F30" s="101" t="str">
        <f>PR2_pozwolenie!F29</f>
        <v>x</v>
      </c>
      <c r="G30" s="133"/>
      <c r="H30" s="43"/>
      <c r="I30" s="43"/>
      <c r="J30" s="106"/>
      <c r="K30" s="121"/>
      <c r="N30" s="307"/>
      <c r="O30" s="321">
        <f t="shared" si="3"/>
        <v>0</v>
      </c>
    </row>
    <row r="31" spans="1:177" s="15" customFormat="1" ht="40.5" customHeight="1" hidden="1">
      <c r="A31" s="93" t="s">
        <v>35</v>
      </c>
      <c r="B31" s="94" t="str">
        <f>B29</f>
        <v>01.02.04.21</v>
      </c>
      <c r="C31" s="90" t="s">
        <v>238</v>
      </c>
      <c r="D31" s="91" t="s">
        <v>201</v>
      </c>
      <c r="E31" s="92">
        <f>E30*0.15</f>
        <v>7.3</v>
      </c>
      <c r="F31" s="101">
        <f>PR2_pozwolenie!F30</f>
        <v>3.47</v>
      </c>
      <c r="G31" s="110"/>
      <c r="H31" s="45"/>
      <c r="I31" s="45"/>
      <c r="J31" s="110"/>
      <c r="K31" s="121"/>
      <c r="L31" s="78"/>
      <c r="M31" s="78"/>
      <c r="N31" s="311"/>
      <c r="O31" s="321">
        <f t="shared" si="3"/>
        <v>0</v>
      </c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</row>
    <row r="32" spans="1:177" s="15" customFormat="1" ht="20.25" customHeight="1">
      <c r="A32" s="86">
        <v>7</v>
      </c>
      <c r="B32" s="98" t="s">
        <v>31</v>
      </c>
      <c r="C32" s="99" t="s">
        <v>239</v>
      </c>
      <c r="D32" s="97" t="s">
        <v>199</v>
      </c>
      <c r="E32" s="101" t="s">
        <v>34</v>
      </c>
      <c r="F32" s="101">
        <f>PR2_pozwolenie!F31</f>
        <v>0</v>
      </c>
      <c r="G32" s="110"/>
      <c r="H32" s="45"/>
      <c r="I32" s="45"/>
      <c r="J32" s="110"/>
      <c r="K32" s="121"/>
      <c r="L32" s="78"/>
      <c r="M32" s="78"/>
      <c r="N32" s="311">
        <v>21.25</v>
      </c>
      <c r="O32" s="321">
        <f t="shared" si="3"/>
        <v>0</v>
      </c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</row>
    <row r="33" spans="1:177" s="15" customFormat="1" ht="69.75" customHeight="1" hidden="1">
      <c r="A33" s="86"/>
      <c r="B33" s="102"/>
      <c r="C33" s="103" t="s">
        <v>240</v>
      </c>
      <c r="D33" s="104" t="s">
        <v>200</v>
      </c>
      <c r="E33" s="105">
        <f>26.8+21.25</f>
        <v>48.05</v>
      </c>
      <c r="F33" s="101" t="str">
        <f>PR2_pozwolenie!F32</f>
        <v>x</v>
      </c>
      <c r="G33" s="110"/>
      <c r="H33" s="45"/>
      <c r="I33" s="45"/>
      <c r="J33" s="110"/>
      <c r="K33" s="121"/>
      <c r="L33" s="78"/>
      <c r="M33" s="78"/>
      <c r="N33" s="311"/>
      <c r="O33" s="321">
        <f t="shared" si="3"/>
        <v>0</v>
      </c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</row>
    <row r="34" spans="1:177" s="15" customFormat="1" ht="39.75" customHeight="1" hidden="1">
      <c r="A34" s="93" t="s">
        <v>146</v>
      </c>
      <c r="B34" s="94" t="str">
        <f>B32</f>
        <v>01.02.04.22</v>
      </c>
      <c r="C34" s="90" t="s">
        <v>241</v>
      </c>
      <c r="D34" s="91" t="s">
        <v>201</v>
      </c>
      <c r="E34" s="92">
        <f>E33*0.1</f>
        <v>4.81</v>
      </c>
      <c r="F34" s="101">
        <f>PR2_pozwolenie!F33</f>
        <v>3.33</v>
      </c>
      <c r="G34" s="110"/>
      <c r="H34" s="45"/>
      <c r="I34" s="45"/>
      <c r="J34" s="110"/>
      <c r="K34" s="121"/>
      <c r="L34" s="78"/>
      <c r="M34" s="78"/>
      <c r="N34" s="311"/>
      <c r="O34" s="321">
        <f t="shared" si="3"/>
        <v>0</v>
      </c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</row>
    <row r="35" spans="1:177" s="15" customFormat="1" ht="39.75" customHeight="1" hidden="1">
      <c r="A35" s="93" t="s">
        <v>296</v>
      </c>
      <c r="B35" s="94" t="str">
        <f>B34</f>
        <v>01.02.04.22</v>
      </c>
      <c r="C35" s="90" t="s">
        <v>242</v>
      </c>
      <c r="D35" s="91" t="s">
        <v>11</v>
      </c>
      <c r="E35" s="92">
        <f>(808-650)+(55-12)</f>
        <v>201</v>
      </c>
      <c r="F35" s="101">
        <f>PR2_pozwolenie!F34</f>
        <v>146.42</v>
      </c>
      <c r="G35" s="110"/>
      <c r="H35" s="45"/>
      <c r="I35" s="45"/>
      <c r="J35" s="110"/>
      <c r="K35" s="121"/>
      <c r="L35" s="78"/>
      <c r="M35" s="78"/>
      <c r="N35" s="311"/>
      <c r="O35" s="321">
        <f t="shared" si="3"/>
        <v>0</v>
      </c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</row>
    <row r="36" spans="1:177" s="15" customFormat="1" ht="18" customHeight="1">
      <c r="A36" s="86">
        <v>8</v>
      </c>
      <c r="B36" s="98" t="s">
        <v>149</v>
      </c>
      <c r="C36" s="99" t="s">
        <v>150</v>
      </c>
      <c r="D36" s="97" t="s">
        <v>199</v>
      </c>
      <c r="E36" s="101" t="s">
        <v>34</v>
      </c>
      <c r="F36" s="101">
        <f>PR2_pozwolenie!F34</f>
        <v>146.42</v>
      </c>
      <c r="G36" s="110"/>
      <c r="H36" s="45"/>
      <c r="I36" s="45"/>
      <c r="J36" s="110"/>
      <c r="K36" s="121"/>
      <c r="L36" s="78"/>
      <c r="M36" s="78"/>
      <c r="N36" s="311"/>
      <c r="O36" s="321">
        <f t="shared" si="3"/>
        <v>0</v>
      </c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</row>
    <row r="37" spans="1:177" s="15" customFormat="1" ht="41.25" customHeight="1" hidden="1">
      <c r="A37" s="86"/>
      <c r="B37" s="102"/>
      <c r="C37" s="103" t="s">
        <v>243</v>
      </c>
      <c r="D37" s="104" t="s">
        <v>200</v>
      </c>
      <c r="E37" s="105">
        <v>2.5</v>
      </c>
      <c r="F37" s="101">
        <f>PR2_pozwolenie!F36</f>
        <v>0</v>
      </c>
      <c r="G37" s="110"/>
      <c r="H37" s="45"/>
      <c r="I37" s="45"/>
      <c r="J37" s="110"/>
      <c r="K37" s="121"/>
      <c r="L37" s="78"/>
      <c r="M37" s="78"/>
      <c r="N37" s="311"/>
      <c r="O37" s="321">
        <f t="shared" si="3"/>
        <v>0</v>
      </c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</row>
    <row r="38" spans="1:177" s="15" customFormat="1" ht="38.25" customHeight="1" hidden="1">
      <c r="A38" s="93" t="s">
        <v>147</v>
      </c>
      <c r="B38" s="94" t="str">
        <f>B36</f>
        <v>01.02.04.24</v>
      </c>
      <c r="C38" s="90" t="s">
        <v>244</v>
      </c>
      <c r="D38" s="91" t="s">
        <v>201</v>
      </c>
      <c r="E38" s="92">
        <f>E37*0.06</f>
        <v>0.15</v>
      </c>
      <c r="F38" s="101">
        <f>PR2_pozwolenie!F40</f>
        <v>196</v>
      </c>
      <c r="G38" s="110"/>
      <c r="H38" s="45"/>
      <c r="I38" s="45"/>
      <c r="J38" s="110"/>
      <c r="K38" s="121"/>
      <c r="L38" s="78"/>
      <c r="M38" s="78"/>
      <c r="N38" s="311"/>
      <c r="O38" s="321">
        <f t="shared" si="3"/>
        <v>0</v>
      </c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</row>
    <row r="39" spans="1:177" s="15" customFormat="1" ht="18" customHeight="1">
      <c r="A39" s="86">
        <v>9</v>
      </c>
      <c r="B39" s="98" t="s">
        <v>37</v>
      </c>
      <c r="C39" s="99" t="s">
        <v>120</v>
      </c>
      <c r="D39" s="97" t="s">
        <v>11</v>
      </c>
      <c r="E39" s="101" t="s">
        <v>34</v>
      </c>
      <c r="F39" s="101">
        <f>PR2_pozwolenie!F40</f>
        <v>196</v>
      </c>
      <c r="G39" s="110"/>
      <c r="H39" s="45"/>
      <c r="I39" s="45"/>
      <c r="J39" s="110"/>
      <c r="K39" s="121"/>
      <c r="L39" s="78"/>
      <c r="M39" s="78"/>
      <c r="N39" s="311"/>
      <c r="O39" s="321">
        <f t="shared" si="3"/>
        <v>0</v>
      </c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</row>
    <row r="40" spans="1:177" s="15" customFormat="1" ht="39.75" customHeight="1" hidden="1">
      <c r="A40" s="86"/>
      <c r="B40" s="102"/>
      <c r="C40" s="103" t="s">
        <v>245</v>
      </c>
      <c r="D40" s="104" t="s">
        <v>11</v>
      </c>
      <c r="E40" s="105">
        <f>4.8</f>
        <v>4.8</v>
      </c>
      <c r="F40" s="101" t="str">
        <f>PR2_pozwolenie!F41</f>
        <v>x</v>
      </c>
      <c r="G40" s="110"/>
      <c r="H40" s="45"/>
      <c r="I40" s="45"/>
      <c r="J40" s="110"/>
      <c r="K40" s="121"/>
      <c r="L40" s="78"/>
      <c r="M40" s="78"/>
      <c r="N40" s="311"/>
      <c r="O40" s="321">
        <f t="shared" si="3"/>
        <v>0</v>
      </c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</row>
    <row r="41" spans="1:177" s="15" customFormat="1" ht="40.5" customHeight="1" hidden="1">
      <c r="A41" s="93" t="s">
        <v>148</v>
      </c>
      <c r="B41" s="94" t="str">
        <f>B39</f>
        <v>01.02.04.44</v>
      </c>
      <c r="C41" s="90" t="s">
        <v>246</v>
      </c>
      <c r="D41" s="91" t="s">
        <v>201</v>
      </c>
      <c r="E41" s="92">
        <f>E40*0.08*0.25</f>
        <v>0.1</v>
      </c>
      <c r="F41" s="101">
        <f>PR2_pozwolenie!F42</f>
        <v>8.82</v>
      </c>
      <c r="G41" s="110"/>
      <c r="H41" s="45"/>
      <c r="I41" s="45"/>
      <c r="J41" s="110"/>
      <c r="K41" s="121"/>
      <c r="L41" s="78"/>
      <c r="M41" s="78"/>
      <c r="N41" s="311"/>
      <c r="O41" s="321">
        <f t="shared" si="3"/>
        <v>0</v>
      </c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</row>
    <row r="42" spans="1:177" s="15" customFormat="1" ht="19.5" customHeight="1">
      <c r="A42" s="86">
        <v>10</v>
      </c>
      <c r="B42" s="98" t="s">
        <v>155</v>
      </c>
      <c r="C42" s="99" t="s">
        <v>251</v>
      </c>
      <c r="D42" s="97" t="s">
        <v>11</v>
      </c>
      <c r="E42" s="101" t="s">
        <v>34</v>
      </c>
      <c r="F42" s="101">
        <f>PR2_pozwolenie!F43</f>
        <v>78.9</v>
      </c>
      <c r="G42" s="110"/>
      <c r="H42" s="45"/>
      <c r="I42" s="45"/>
      <c r="J42" s="110"/>
      <c r="K42" s="121"/>
      <c r="L42" s="78"/>
      <c r="M42" s="78"/>
      <c r="N42" s="311">
        <v>10</v>
      </c>
      <c r="O42" s="321">
        <f t="shared" si="3"/>
        <v>0</v>
      </c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</row>
    <row r="43" spans="1:177" s="15" customFormat="1" ht="42.75" customHeight="1" hidden="1">
      <c r="A43" s="93"/>
      <c r="B43" s="94"/>
      <c r="C43" s="90" t="s">
        <v>297</v>
      </c>
      <c r="D43" s="91" t="s">
        <v>11</v>
      </c>
      <c r="E43" s="92">
        <f>28</f>
        <v>28</v>
      </c>
      <c r="F43" s="101" t="str">
        <f>PR2_pozwolenie!F44</f>
        <v>x</v>
      </c>
      <c r="G43" s="110"/>
      <c r="H43" s="45"/>
      <c r="I43" s="45"/>
      <c r="J43" s="110"/>
      <c r="K43" s="121"/>
      <c r="L43" s="78"/>
      <c r="M43" s="78"/>
      <c r="N43" s="311"/>
      <c r="O43" s="321">
        <f t="shared" si="3"/>
        <v>0</v>
      </c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</row>
    <row r="44" spans="1:177" s="15" customFormat="1" ht="40.5" customHeight="1" hidden="1">
      <c r="A44" s="93" t="s">
        <v>36</v>
      </c>
      <c r="B44" s="94" t="str">
        <f>B42</f>
        <v>01.02.04.71</v>
      </c>
      <c r="C44" s="90" t="s">
        <v>250</v>
      </c>
      <c r="D44" s="91" t="s">
        <v>201</v>
      </c>
      <c r="E44" s="92">
        <f>(3.14*0.25*0.25*28-3.14*0.2*0.2*28)</f>
        <v>1.98</v>
      </c>
      <c r="F44" s="101">
        <f>PR2_pozwolenie!F45</f>
        <v>5.57</v>
      </c>
      <c r="G44" s="110"/>
      <c r="H44" s="45"/>
      <c r="I44" s="45"/>
      <c r="J44" s="110"/>
      <c r="K44" s="121"/>
      <c r="L44" s="78"/>
      <c r="M44" s="78"/>
      <c r="N44" s="311"/>
      <c r="O44" s="321">
        <f t="shared" si="3"/>
        <v>0</v>
      </c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</row>
    <row r="45" spans="1:177" s="15" customFormat="1" ht="18.75" customHeight="1">
      <c r="A45" s="86">
        <v>11</v>
      </c>
      <c r="B45" s="98" t="s">
        <v>152</v>
      </c>
      <c r="C45" s="99" t="s">
        <v>258</v>
      </c>
      <c r="D45" s="97" t="s">
        <v>11</v>
      </c>
      <c r="E45" s="101" t="s">
        <v>34</v>
      </c>
      <c r="F45" s="101">
        <f>PR2_pozwolenie!F46</f>
        <v>1</v>
      </c>
      <c r="G45" s="110"/>
      <c r="H45" s="45"/>
      <c r="I45" s="45"/>
      <c r="J45" s="110"/>
      <c r="K45" s="121"/>
      <c r="L45" s="78"/>
      <c r="M45" s="78"/>
      <c r="N45" s="311"/>
      <c r="O45" s="321">
        <f t="shared" si="3"/>
        <v>0</v>
      </c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</row>
    <row r="46" spans="1:177" s="15" customFormat="1" ht="64.5" customHeight="1" hidden="1">
      <c r="A46" s="93"/>
      <c r="B46" s="94"/>
      <c r="C46" s="90" t="s">
        <v>298</v>
      </c>
      <c r="D46" s="91" t="s">
        <v>11</v>
      </c>
      <c r="E46" s="92">
        <f>8+1</f>
        <v>9</v>
      </c>
      <c r="F46" s="101" t="str">
        <f>PR2_pozwolenie!F47</f>
        <v>x</v>
      </c>
      <c r="G46" s="110"/>
      <c r="H46" s="45"/>
      <c r="I46" s="45"/>
      <c r="J46" s="110"/>
      <c r="K46" s="121"/>
      <c r="L46" s="78"/>
      <c r="M46" s="78"/>
      <c r="N46" s="311"/>
      <c r="O46" s="321">
        <f t="shared" si="3"/>
        <v>0</v>
      </c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</row>
    <row r="47" spans="1:177" s="15" customFormat="1" ht="40.5" customHeight="1" hidden="1">
      <c r="A47" s="93" t="s">
        <v>151</v>
      </c>
      <c r="B47" s="94" t="str">
        <f>B45</f>
        <v>01.02.04.72</v>
      </c>
      <c r="C47" s="90" t="s">
        <v>252</v>
      </c>
      <c r="D47" s="91" t="s">
        <v>201</v>
      </c>
      <c r="E47" s="92">
        <f>(3.14*0.35*0.35*1-3.14*0.3*0.5*1)+(3.14*0.3*0.3*8-3.14*0.25*0.25*8)</f>
        <v>0.6</v>
      </c>
      <c r="F47" s="101">
        <f>PR2_pozwolenie!F48</f>
        <v>0.1</v>
      </c>
      <c r="G47" s="110"/>
      <c r="H47" s="45"/>
      <c r="I47" s="45"/>
      <c r="J47" s="110"/>
      <c r="K47" s="121"/>
      <c r="L47" s="78"/>
      <c r="M47" s="78"/>
      <c r="N47" s="311"/>
      <c r="O47" s="321">
        <f t="shared" si="3"/>
        <v>0</v>
      </c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</row>
    <row r="48" spans="1:177" s="15" customFormat="1" ht="18.75" customHeight="1">
      <c r="A48" s="86">
        <v>12</v>
      </c>
      <c r="B48" s="98" t="s">
        <v>32</v>
      </c>
      <c r="C48" s="99" t="s">
        <v>153</v>
      </c>
      <c r="D48" s="97" t="s">
        <v>9</v>
      </c>
      <c r="E48" s="101" t="s">
        <v>34</v>
      </c>
      <c r="F48" s="101">
        <f>PR2_pozwolenie!F49</f>
        <v>3</v>
      </c>
      <c r="G48" s="110"/>
      <c r="H48" s="45"/>
      <c r="I48" s="45"/>
      <c r="J48" s="110"/>
      <c r="K48" s="121"/>
      <c r="L48" s="78"/>
      <c r="M48" s="78"/>
      <c r="N48" s="311"/>
      <c r="O48" s="321">
        <f t="shared" si="3"/>
        <v>0</v>
      </c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</row>
    <row r="49" spans="1:177" s="15" customFormat="1" ht="40.5" customHeight="1" hidden="1">
      <c r="A49" s="93"/>
      <c r="B49" s="94"/>
      <c r="C49" s="90" t="s">
        <v>247</v>
      </c>
      <c r="D49" s="91" t="s">
        <v>9</v>
      </c>
      <c r="E49" s="92">
        <v>2</v>
      </c>
      <c r="F49" s="101" t="str">
        <f>PR2_pozwolenie!F50</f>
        <v>x</v>
      </c>
      <c r="G49" s="110"/>
      <c r="H49" s="45"/>
      <c r="I49" s="45"/>
      <c r="J49" s="110"/>
      <c r="K49" s="121"/>
      <c r="L49" s="78"/>
      <c r="M49" s="78"/>
      <c r="N49" s="311"/>
      <c r="O49" s="321">
        <f t="shared" si="3"/>
        <v>0</v>
      </c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</row>
    <row r="50" spans="1:178" s="15" customFormat="1" ht="18" customHeight="1">
      <c r="A50" s="86">
        <v>13</v>
      </c>
      <c r="B50" s="98" t="s">
        <v>121</v>
      </c>
      <c r="C50" s="99" t="s">
        <v>154</v>
      </c>
      <c r="D50" s="97" t="s">
        <v>9</v>
      </c>
      <c r="E50" s="101" t="s">
        <v>34</v>
      </c>
      <c r="F50" s="101">
        <f>PR2_pozwolenie!F51</f>
        <v>5</v>
      </c>
      <c r="G50" s="110"/>
      <c r="H50" s="45"/>
      <c r="I50" s="45"/>
      <c r="J50" s="110"/>
      <c r="K50" s="121"/>
      <c r="L50" s="78"/>
      <c r="M50" s="78"/>
      <c r="N50" s="311"/>
      <c r="O50" s="321">
        <f t="shared" si="3"/>
        <v>0</v>
      </c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</row>
    <row r="51" spans="1:177" s="15" customFormat="1" ht="32.25" customHeight="1" hidden="1">
      <c r="A51" s="93"/>
      <c r="B51" s="94"/>
      <c r="C51" s="90" t="s">
        <v>248</v>
      </c>
      <c r="D51" s="91" t="s">
        <v>9</v>
      </c>
      <c r="E51" s="92">
        <v>2</v>
      </c>
      <c r="F51" s="101" t="str">
        <f>PR2_pozwolenie!F52</f>
        <v>x</v>
      </c>
      <c r="G51" s="110"/>
      <c r="H51" s="45"/>
      <c r="I51" s="45"/>
      <c r="J51" s="110"/>
      <c r="K51" s="121"/>
      <c r="L51" s="78"/>
      <c r="M51" s="78"/>
      <c r="N51" s="311"/>
      <c r="O51" s="321">
        <f t="shared" si="3"/>
        <v>0</v>
      </c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</row>
    <row r="52" spans="1:177" s="15" customFormat="1" ht="19.5" customHeight="1">
      <c r="A52" s="86">
        <v>14</v>
      </c>
      <c r="B52" s="98" t="s">
        <v>156</v>
      </c>
      <c r="C52" s="99" t="s">
        <v>249</v>
      </c>
      <c r="D52" s="97" t="s">
        <v>202</v>
      </c>
      <c r="E52" s="101" t="s">
        <v>34</v>
      </c>
      <c r="F52" s="101">
        <f>PR2_pozwolenie!F55</f>
        <v>15.8</v>
      </c>
      <c r="G52" s="110"/>
      <c r="H52" s="45"/>
      <c r="I52" s="45"/>
      <c r="J52" s="110"/>
      <c r="K52" s="121"/>
      <c r="L52" s="78"/>
      <c r="M52" s="127"/>
      <c r="N52" s="311"/>
      <c r="O52" s="321">
        <f t="shared" si="3"/>
        <v>0</v>
      </c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</row>
    <row r="53" spans="1:177" s="15" customFormat="1" ht="57.75" customHeight="1" hidden="1">
      <c r="A53" s="93"/>
      <c r="B53" s="94"/>
      <c r="C53" s="90" t="s">
        <v>299</v>
      </c>
      <c r="D53" s="91" t="s">
        <v>201</v>
      </c>
      <c r="E53" s="92">
        <f>2.19</f>
        <v>2.19</v>
      </c>
      <c r="F53" s="92" t="s">
        <v>34</v>
      </c>
      <c r="G53" s="107"/>
      <c r="H53" s="45"/>
      <c r="I53" s="45"/>
      <c r="J53" s="110"/>
      <c r="K53" s="208"/>
      <c r="L53" s="78"/>
      <c r="M53" s="78"/>
      <c r="N53" s="311"/>
      <c r="O53" s="322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</row>
    <row r="54" spans="1:177" s="15" customFormat="1" ht="25.5" customHeight="1">
      <c r="A54" s="821" t="s">
        <v>436</v>
      </c>
      <c r="B54" s="822"/>
      <c r="C54" s="822"/>
      <c r="D54" s="822"/>
      <c r="E54" s="822"/>
      <c r="F54" s="822"/>
      <c r="G54" s="822"/>
      <c r="H54" s="822"/>
      <c r="I54" s="822"/>
      <c r="J54" s="823"/>
      <c r="K54" s="264"/>
      <c r="L54" s="78"/>
      <c r="M54" s="78"/>
      <c r="N54" s="311"/>
      <c r="O54" s="264">
        <f>O18+O21+O23+O26+O29+O32+O36+O39+O42+O45+O48+O50+O52</f>
        <v>0</v>
      </c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</row>
    <row r="55" spans="1:141" s="162" customFormat="1" ht="27" customHeight="1">
      <c r="A55" s="28" t="s">
        <v>62</v>
      </c>
      <c r="B55" s="25" t="s">
        <v>122</v>
      </c>
      <c r="C55" s="816" t="s">
        <v>213</v>
      </c>
      <c r="D55" s="816"/>
      <c r="E55" s="816"/>
      <c r="F55" s="816"/>
      <c r="G55" s="816"/>
      <c r="H55" s="816"/>
      <c r="I55" s="816"/>
      <c r="J55" s="816"/>
      <c r="K55" s="817"/>
      <c r="L55" s="128"/>
      <c r="M55" s="128"/>
      <c r="N55" s="312"/>
      <c r="O55" s="323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</row>
    <row r="56" spans="1:141" s="15" customFormat="1" ht="20.25" customHeight="1">
      <c r="A56" s="84" t="s">
        <v>34</v>
      </c>
      <c r="B56" s="85" t="s">
        <v>157</v>
      </c>
      <c r="C56" s="814" t="s">
        <v>162</v>
      </c>
      <c r="D56" s="814"/>
      <c r="E56" s="814"/>
      <c r="F56" s="814"/>
      <c r="G56" s="814"/>
      <c r="H56" s="814"/>
      <c r="I56" s="814"/>
      <c r="J56" s="814"/>
      <c r="K56" s="815"/>
      <c r="L56" s="78"/>
      <c r="M56" s="78"/>
      <c r="N56" s="311"/>
      <c r="O56" s="322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</row>
    <row r="57" spans="1:141" s="15" customFormat="1" ht="27" customHeight="1">
      <c r="A57" s="86">
        <v>15</v>
      </c>
      <c r="B57" s="87" t="s">
        <v>158</v>
      </c>
      <c r="C57" s="108" t="s">
        <v>159</v>
      </c>
      <c r="D57" s="97" t="s">
        <v>202</v>
      </c>
      <c r="E57" s="101" t="s">
        <v>34</v>
      </c>
      <c r="F57" s="101">
        <f>PR2_pozwolenie!F59</f>
        <v>0</v>
      </c>
      <c r="G57" s="107"/>
      <c r="H57" s="45"/>
      <c r="I57" s="45"/>
      <c r="J57" s="110"/>
      <c r="K57" s="121"/>
      <c r="L57" s="78"/>
      <c r="M57" s="78"/>
      <c r="N57" s="311">
        <v>23.2</v>
      </c>
      <c r="O57" s="321">
        <f aca="true" t="shared" si="4" ref="O57:O62">J57*N57</f>
        <v>0</v>
      </c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</row>
    <row r="58" spans="1:141" s="15" customFormat="1" ht="40.5" customHeight="1" hidden="1">
      <c r="A58" s="147"/>
      <c r="B58" s="135"/>
      <c r="C58" s="103" t="s">
        <v>314</v>
      </c>
      <c r="D58" s="104" t="s">
        <v>201</v>
      </c>
      <c r="E58" s="105">
        <v>163.7</v>
      </c>
      <c r="F58" s="101" t="str">
        <f>PR2_pozwolenie!F60</f>
        <v>x</v>
      </c>
      <c r="G58" s="107"/>
      <c r="H58" s="45"/>
      <c r="I58" s="45"/>
      <c r="J58" s="110"/>
      <c r="K58" s="121"/>
      <c r="L58" s="8"/>
      <c r="M58" s="8"/>
      <c r="N58" s="311"/>
      <c r="O58" s="321">
        <f t="shared" si="4"/>
        <v>0</v>
      </c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</row>
    <row r="59" spans="1:141" s="15" customFormat="1" ht="20.25" customHeight="1">
      <c r="A59" s="86">
        <v>16</v>
      </c>
      <c r="B59" s="87" t="s">
        <v>160</v>
      </c>
      <c r="C59" s="108" t="s">
        <v>161</v>
      </c>
      <c r="D59" s="97" t="s">
        <v>202</v>
      </c>
      <c r="E59" s="101" t="s">
        <v>34</v>
      </c>
      <c r="F59" s="101">
        <f>PR2_pozwolenie!F61</f>
        <v>150.1</v>
      </c>
      <c r="G59" s="107"/>
      <c r="H59" s="45"/>
      <c r="I59" s="45"/>
      <c r="J59" s="110"/>
      <c r="K59" s="121"/>
      <c r="L59" s="78"/>
      <c r="M59" s="78"/>
      <c r="N59" s="311">
        <v>1.94</v>
      </c>
      <c r="O59" s="321">
        <f t="shared" si="4"/>
        <v>0</v>
      </c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</row>
    <row r="60" spans="1:141" s="15" customFormat="1" ht="65.25" customHeight="1" hidden="1">
      <c r="A60" s="86"/>
      <c r="B60" s="98"/>
      <c r="C60" s="103" t="s">
        <v>315</v>
      </c>
      <c r="D60" s="104" t="s">
        <v>201</v>
      </c>
      <c r="E60" s="105">
        <v>12.05</v>
      </c>
      <c r="F60" s="101" t="s">
        <v>34</v>
      </c>
      <c r="G60" s="107"/>
      <c r="H60" s="45"/>
      <c r="I60" s="45"/>
      <c r="J60" s="110"/>
      <c r="K60" s="208"/>
      <c r="L60" s="78"/>
      <c r="M60" s="78"/>
      <c r="N60" s="311"/>
      <c r="O60" s="321">
        <f t="shared" si="4"/>
        <v>0</v>
      </c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</row>
    <row r="61" spans="1:15" s="14" customFormat="1" ht="18" customHeight="1">
      <c r="A61" s="84" t="s">
        <v>34</v>
      </c>
      <c r="B61" s="85" t="s">
        <v>75</v>
      </c>
      <c r="C61" s="814" t="s">
        <v>76</v>
      </c>
      <c r="D61" s="814"/>
      <c r="E61" s="814"/>
      <c r="F61" s="814"/>
      <c r="G61" s="814"/>
      <c r="H61" s="814"/>
      <c r="I61" s="814"/>
      <c r="J61" s="814"/>
      <c r="K61" s="815"/>
      <c r="N61" s="310"/>
      <c r="O61" s="321">
        <f t="shared" si="4"/>
        <v>0</v>
      </c>
    </row>
    <row r="62" spans="1:15" s="14" customFormat="1" ht="19.5" customHeight="1">
      <c r="A62" s="117">
        <v>17</v>
      </c>
      <c r="B62" s="87" t="s">
        <v>163</v>
      </c>
      <c r="C62" s="136" t="s">
        <v>164</v>
      </c>
      <c r="D62" s="109" t="s">
        <v>202</v>
      </c>
      <c r="E62" s="110" t="s">
        <v>34</v>
      </c>
      <c r="F62" s="110">
        <f>PR2_pozwolenie!F64</f>
        <v>0</v>
      </c>
      <c r="G62" s="133"/>
      <c r="H62" s="43"/>
      <c r="I62" s="43"/>
      <c r="J62" s="110"/>
      <c r="K62" s="121"/>
      <c r="M62" s="157"/>
      <c r="N62" s="310">
        <v>23.2</v>
      </c>
      <c r="O62" s="321">
        <f t="shared" si="4"/>
        <v>0</v>
      </c>
    </row>
    <row r="63" spans="1:15" s="14" customFormat="1" ht="26.25" customHeight="1" hidden="1">
      <c r="A63" s="117"/>
      <c r="B63" s="98"/>
      <c r="C63" s="137" t="s">
        <v>316</v>
      </c>
      <c r="D63" s="104" t="s">
        <v>201</v>
      </c>
      <c r="E63" s="105">
        <f>E58</f>
        <v>163.7</v>
      </c>
      <c r="F63" s="105" t="s">
        <v>34</v>
      </c>
      <c r="G63" s="133"/>
      <c r="H63" s="43"/>
      <c r="I63" s="43"/>
      <c r="J63" s="110"/>
      <c r="K63" s="121"/>
      <c r="N63" s="310"/>
      <c r="O63" s="321"/>
    </row>
    <row r="64" spans="1:15" s="14" customFormat="1" ht="26.25" customHeight="1">
      <c r="A64" s="818" t="s">
        <v>437</v>
      </c>
      <c r="B64" s="819"/>
      <c r="C64" s="819"/>
      <c r="D64" s="819"/>
      <c r="E64" s="819"/>
      <c r="F64" s="819"/>
      <c r="G64" s="819"/>
      <c r="H64" s="819"/>
      <c r="I64" s="819"/>
      <c r="J64" s="820"/>
      <c r="K64" s="265"/>
      <c r="N64" s="310"/>
      <c r="O64" s="265">
        <f>O57+O59+O62</f>
        <v>0</v>
      </c>
    </row>
    <row r="65" spans="1:15" s="3" customFormat="1" ht="29.25" customHeight="1">
      <c r="A65" s="28" t="s">
        <v>52</v>
      </c>
      <c r="B65" s="25" t="s">
        <v>123</v>
      </c>
      <c r="C65" s="816" t="s">
        <v>203</v>
      </c>
      <c r="D65" s="816"/>
      <c r="E65" s="816"/>
      <c r="F65" s="816"/>
      <c r="G65" s="816"/>
      <c r="H65" s="816"/>
      <c r="I65" s="816"/>
      <c r="J65" s="816"/>
      <c r="K65" s="817"/>
      <c r="N65" s="313"/>
      <c r="O65" s="324"/>
    </row>
    <row r="66" spans="1:15" s="3" customFormat="1" ht="18" customHeight="1">
      <c r="A66" s="84" t="s">
        <v>34</v>
      </c>
      <c r="B66" s="85" t="s">
        <v>165</v>
      </c>
      <c r="C66" s="814" t="s">
        <v>166</v>
      </c>
      <c r="D66" s="814"/>
      <c r="E66" s="814"/>
      <c r="F66" s="814"/>
      <c r="G66" s="814"/>
      <c r="H66" s="814"/>
      <c r="I66" s="814"/>
      <c r="J66" s="814"/>
      <c r="K66" s="815"/>
      <c r="N66" s="313"/>
      <c r="O66" s="324"/>
    </row>
    <row r="67" spans="1:15" s="3" customFormat="1" ht="19.5" customHeight="1">
      <c r="A67" s="117">
        <v>18</v>
      </c>
      <c r="B67" s="87" t="s">
        <v>167</v>
      </c>
      <c r="C67" s="136" t="s">
        <v>168</v>
      </c>
      <c r="D67" s="109" t="s">
        <v>11</v>
      </c>
      <c r="E67" s="110" t="s">
        <v>34</v>
      </c>
      <c r="F67" s="110">
        <f>PR2_pozwolenie!F70</f>
        <v>2</v>
      </c>
      <c r="G67" s="130"/>
      <c r="H67" s="44"/>
      <c r="I67" s="44"/>
      <c r="J67" s="124"/>
      <c r="K67" s="121"/>
      <c r="N67" s="313">
        <v>2</v>
      </c>
      <c r="O67" s="321">
        <f>J67*N67</f>
        <v>0</v>
      </c>
    </row>
    <row r="68" spans="1:15" s="3" customFormat="1" ht="69" customHeight="1" hidden="1">
      <c r="A68" s="117"/>
      <c r="B68" s="98"/>
      <c r="C68" s="137" t="s">
        <v>256</v>
      </c>
      <c r="D68" s="104" t="s">
        <v>11</v>
      </c>
      <c r="E68" s="105">
        <f>2</f>
        <v>2</v>
      </c>
      <c r="F68" s="105" t="s">
        <v>34</v>
      </c>
      <c r="G68" s="130"/>
      <c r="H68" s="44"/>
      <c r="I68" s="44"/>
      <c r="J68" s="124"/>
      <c r="K68" s="123"/>
      <c r="N68" s="313"/>
      <c r="O68" s="324"/>
    </row>
    <row r="69" spans="1:15" s="3" customFormat="1" ht="18" customHeight="1" hidden="1">
      <c r="A69" s="93" t="s">
        <v>301</v>
      </c>
      <c r="B69" s="94" t="str">
        <f>B67</f>
        <v>03.01.01.11</v>
      </c>
      <c r="C69" s="90" t="s">
        <v>169</v>
      </c>
      <c r="D69" s="91" t="s">
        <v>34</v>
      </c>
      <c r="E69" s="92" t="s">
        <v>34</v>
      </c>
      <c r="F69" s="92" t="s">
        <v>34</v>
      </c>
      <c r="G69" s="130"/>
      <c r="H69" s="44"/>
      <c r="I69" s="44"/>
      <c r="J69" s="124"/>
      <c r="K69" s="123"/>
      <c r="N69" s="313"/>
      <c r="O69" s="324"/>
    </row>
    <row r="70" spans="1:15" s="3" customFormat="1" ht="17.25" customHeight="1" hidden="1">
      <c r="A70" s="118"/>
      <c r="B70" s="195"/>
      <c r="C70" s="196" t="s">
        <v>254</v>
      </c>
      <c r="D70" s="197" t="s">
        <v>300</v>
      </c>
      <c r="E70" s="198">
        <f>0.66*2</f>
        <v>1.32</v>
      </c>
      <c r="F70" s="198">
        <f>E70</f>
        <v>1.32</v>
      </c>
      <c r="G70" s="130"/>
      <c r="H70" s="44"/>
      <c r="I70" s="44"/>
      <c r="J70" s="124"/>
      <c r="K70" s="123"/>
      <c r="N70" s="313"/>
      <c r="O70" s="324"/>
    </row>
    <row r="71" spans="1:15" s="3" customFormat="1" ht="27" customHeight="1" hidden="1">
      <c r="A71" s="119"/>
      <c r="B71" s="195"/>
      <c r="C71" s="199" t="s">
        <v>253</v>
      </c>
      <c r="D71" s="197" t="s">
        <v>300</v>
      </c>
      <c r="E71" s="198">
        <f>2*0.13</f>
        <v>0.26</v>
      </c>
      <c r="F71" s="198">
        <f>E71</f>
        <v>0.26</v>
      </c>
      <c r="G71" s="130"/>
      <c r="H71" s="44"/>
      <c r="I71" s="44"/>
      <c r="J71" s="124"/>
      <c r="K71" s="123"/>
      <c r="N71" s="313"/>
      <c r="O71" s="324"/>
    </row>
    <row r="72" spans="1:15" s="3" customFormat="1" ht="20.25" customHeight="1" hidden="1">
      <c r="A72" s="119"/>
      <c r="B72" s="195"/>
      <c r="C72" s="196" t="s">
        <v>255</v>
      </c>
      <c r="D72" s="197" t="s">
        <v>300</v>
      </c>
      <c r="E72" s="198">
        <f>0.66</f>
        <v>0.66</v>
      </c>
      <c r="F72" s="198">
        <f>E72</f>
        <v>0.66</v>
      </c>
      <c r="G72" s="130"/>
      <c r="H72" s="44"/>
      <c r="I72" s="44"/>
      <c r="J72" s="124"/>
      <c r="K72" s="123"/>
      <c r="N72" s="313"/>
      <c r="O72" s="324"/>
    </row>
    <row r="73" spans="1:15" s="3" customFormat="1" ht="19.5" customHeight="1">
      <c r="A73" s="84" t="s">
        <v>34</v>
      </c>
      <c r="B73" s="85" t="s">
        <v>170</v>
      </c>
      <c r="C73" s="814" t="s">
        <v>171</v>
      </c>
      <c r="D73" s="814"/>
      <c r="E73" s="814"/>
      <c r="F73" s="814"/>
      <c r="G73" s="814"/>
      <c r="H73" s="814"/>
      <c r="I73" s="814"/>
      <c r="J73" s="814"/>
      <c r="K73" s="815"/>
      <c r="N73" s="313"/>
      <c r="O73" s="324"/>
    </row>
    <row r="74" spans="1:15" s="3" customFormat="1" ht="18" customHeight="1">
      <c r="A74" s="117">
        <v>19</v>
      </c>
      <c r="B74" s="87" t="s">
        <v>172</v>
      </c>
      <c r="C74" s="136" t="s">
        <v>173</v>
      </c>
      <c r="D74" s="109" t="s">
        <v>11</v>
      </c>
      <c r="E74" s="110" t="s">
        <v>34</v>
      </c>
      <c r="F74" s="110">
        <f>PR2_pozwolenie!F77</f>
        <v>9.5</v>
      </c>
      <c r="G74" s="130"/>
      <c r="H74" s="44"/>
      <c r="I74" s="44"/>
      <c r="J74" s="124"/>
      <c r="K74" s="121"/>
      <c r="N74" s="313"/>
      <c r="O74" s="321">
        <f>J74*N74</f>
        <v>0</v>
      </c>
    </row>
    <row r="75" spans="1:15" s="3" customFormat="1" ht="30" customHeight="1" hidden="1">
      <c r="A75" s="117"/>
      <c r="B75" s="98"/>
      <c r="C75" s="137" t="s">
        <v>302</v>
      </c>
      <c r="D75" s="104" t="s">
        <v>11</v>
      </c>
      <c r="E75" s="105">
        <v>13.5</v>
      </c>
      <c r="F75" s="105" t="s">
        <v>34</v>
      </c>
      <c r="G75" s="130"/>
      <c r="H75" s="44"/>
      <c r="I75" s="44"/>
      <c r="J75" s="124"/>
      <c r="K75" s="123"/>
      <c r="N75" s="313"/>
      <c r="O75" s="324"/>
    </row>
    <row r="76" spans="1:15" s="3" customFormat="1" ht="18" customHeight="1">
      <c r="A76" s="84" t="s">
        <v>34</v>
      </c>
      <c r="B76" s="85" t="s">
        <v>102</v>
      </c>
      <c r="C76" s="814" t="s">
        <v>103</v>
      </c>
      <c r="D76" s="814"/>
      <c r="E76" s="814"/>
      <c r="F76" s="814"/>
      <c r="G76" s="814"/>
      <c r="H76" s="814"/>
      <c r="I76" s="814"/>
      <c r="J76" s="814"/>
      <c r="K76" s="815"/>
      <c r="N76" s="313"/>
      <c r="O76" s="324"/>
    </row>
    <row r="77" spans="1:15" s="3" customFormat="1" ht="31.5" customHeight="1">
      <c r="A77" s="117">
        <v>20</v>
      </c>
      <c r="B77" s="87" t="s">
        <v>174</v>
      </c>
      <c r="C77" s="136" t="s">
        <v>303</v>
      </c>
      <c r="D77" s="109" t="s">
        <v>11</v>
      </c>
      <c r="E77" s="110" t="s">
        <v>34</v>
      </c>
      <c r="F77" s="110">
        <f>PR2_pozwolenie!F80</f>
        <v>244</v>
      </c>
      <c r="G77" s="130"/>
      <c r="H77" s="44"/>
      <c r="I77" s="44"/>
      <c r="J77" s="124"/>
      <c r="K77" s="121"/>
      <c r="N77" s="313">
        <v>37</v>
      </c>
      <c r="O77" s="321">
        <f>J77*N77</f>
        <v>0</v>
      </c>
    </row>
    <row r="78" spans="1:15" s="3" customFormat="1" ht="69.75" customHeight="1" hidden="1">
      <c r="A78" s="117"/>
      <c r="B78" s="98"/>
      <c r="C78" s="137" t="s">
        <v>317</v>
      </c>
      <c r="D78" s="104" t="s">
        <v>11</v>
      </c>
      <c r="E78" s="105">
        <f>44+38+44+23+10+37</f>
        <v>196</v>
      </c>
      <c r="F78" s="105" t="s">
        <v>34</v>
      </c>
      <c r="G78" s="130"/>
      <c r="H78" s="44"/>
      <c r="I78" s="44"/>
      <c r="J78" s="124"/>
      <c r="K78" s="121"/>
      <c r="N78" s="313"/>
      <c r="O78" s="324"/>
    </row>
    <row r="79" spans="1:15" s="3" customFormat="1" ht="17.25" customHeight="1" hidden="1">
      <c r="A79" s="93" t="s">
        <v>304</v>
      </c>
      <c r="B79" s="94" t="str">
        <f>B77</f>
        <v>03.02.01.16</v>
      </c>
      <c r="C79" s="90" t="s">
        <v>175</v>
      </c>
      <c r="D79" s="91" t="s">
        <v>34</v>
      </c>
      <c r="E79" s="92" t="s">
        <v>34</v>
      </c>
      <c r="F79" s="92" t="s">
        <v>34</v>
      </c>
      <c r="G79" s="130"/>
      <c r="H79" s="44"/>
      <c r="I79" s="44"/>
      <c r="J79" s="124"/>
      <c r="K79" s="121"/>
      <c r="N79" s="313"/>
      <c r="O79" s="324"/>
    </row>
    <row r="80" spans="1:15" s="3" customFormat="1" ht="26.25" customHeight="1" hidden="1">
      <c r="A80" s="119"/>
      <c r="B80" s="200"/>
      <c r="C80" s="199" t="s">
        <v>259</v>
      </c>
      <c r="D80" s="197" t="s">
        <v>300</v>
      </c>
      <c r="E80" s="198">
        <f>0.18*1</f>
        <v>0.18</v>
      </c>
      <c r="F80" s="198">
        <f>E80</f>
        <v>0.18</v>
      </c>
      <c r="G80" s="130"/>
      <c r="H80" s="44"/>
      <c r="I80" s="44"/>
      <c r="J80" s="124"/>
      <c r="K80" s="121"/>
      <c r="N80" s="313"/>
      <c r="O80" s="324"/>
    </row>
    <row r="81" spans="1:15" s="3" customFormat="1" ht="30.75" customHeight="1" hidden="1">
      <c r="A81" s="119"/>
      <c r="B81" s="200"/>
      <c r="C81" s="196" t="s">
        <v>178</v>
      </c>
      <c r="D81" s="197" t="s">
        <v>300</v>
      </c>
      <c r="E81" s="198">
        <f>1*(1.5*0.85-3.14*0.325*0.325)</f>
        <v>0.94</v>
      </c>
      <c r="F81" s="198">
        <f>E81</f>
        <v>0.94</v>
      </c>
      <c r="G81" s="130"/>
      <c r="H81" s="44"/>
      <c r="I81" s="44"/>
      <c r="J81" s="124"/>
      <c r="K81" s="121"/>
      <c r="N81" s="313"/>
      <c r="O81" s="324"/>
    </row>
    <row r="82" spans="1:15" s="3" customFormat="1" ht="18" customHeight="1" hidden="1">
      <c r="A82" s="93"/>
      <c r="B82" s="94"/>
      <c r="C82" s="201" t="s">
        <v>305</v>
      </c>
      <c r="D82" s="202" t="s">
        <v>11</v>
      </c>
      <c r="E82" s="203">
        <v>1</v>
      </c>
      <c r="F82" s="203">
        <v>1</v>
      </c>
      <c r="G82" s="130"/>
      <c r="H82" s="44"/>
      <c r="I82" s="44"/>
      <c r="J82" s="124"/>
      <c r="K82" s="121"/>
      <c r="N82" s="313"/>
      <c r="O82" s="324"/>
    </row>
    <row r="83" spans="1:15" s="3" customFormat="1" ht="27" customHeight="1">
      <c r="A83" s="117">
        <v>21</v>
      </c>
      <c r="B83" s="87" t="s">
        <v>124</v>
      </c>
      <c r="C83" s="136" t="s">
        <v>306</v>
      </c>
      <c r="D83" s="109" t="s">
        <v>12</v>
      </c>
      <c r="E83" s="110" t="s">
        <v>34</v>
      </c>
      <c r="F83" s="110">
        <f>PR2_pozwolenie!F88</f>
        <v>6</v>
      </c>
      <c r="G83" s="130"/>
      <c r="H83" s="44"/>
      <c r="I83" s="44"/>
      <c r="J83" s="124"/>
      <c r="K83" s="121"/>
      <c r="N83" s="313"/>
      <c r="O83" s="324"/>
    </row>
    <row r="84" spans="1:15" s="3" customFormat="1" ht="52.5" customHeight="1" hidden="1">
      <c r="A84" s="117"/>
      <c r="B84" s="98"/>
      <c r="C84" s="137" t="s">
        <v>307</v>
      </c>
      <c r="D84" s="104" t="s">
        <v>12</v>
      </c>
      <c r="E84" s="105">
        <v>4</v>
      </c>
      <c r="F84" s="110" t="str">
        <f>PR2_pozwolenie!F89</f>
        <v>x</v>
      </c>
      <c r="G84" s="130"/>
      <c r="H84" s="44"/>
      <c r="I84" s="44"/>
      <c r="J84" s="124"/>
      <c r="K84" s="121"/>
      <c r="N84" s="313"/>
      <c r="O84" s="324"/>
    </row>
    <row r="85" spans="1:15" s="3" customFormat="1" ht="29.25" customHeight="1">
      <c r="A85" s="117">
        <v>22</v>
      </c>
      <c r="B85" s="87" t="s">
        <v>124</v>
      </c>
      <c r="C85" s="136" t="s">
        <v>308</v>
      </c>
      <c r="D85" s="109" t="s">
        <v>12</v>
      </c>
      <c r="E85" s="110" t="s">
        <v>34</v>
      </c>
      <c r="F85" s="110">
        <f>PR2_pozwolenie!F90</f>
        <v>1</v>
      </c>
      <c r="G85" s="130"/>
      <c r="H85" s="44"/>
      <c r="I85" s="44"/>
      <c r="J85" s="124"/>
      <c r="K85" s="121"/>
      <c r="N85" s="313">
        <v>1</v>
      </c>
      <c r="O85" s="321">
        <f>J85*N85</f>
        <v>0</v>
      </c>
    </row>
    <row r="86" spans="1:15" s="3" customFormat="1" ht="56.25" customHeight="1" hidden="1">
      <c r="A86" s="117"/>
      <c r="B86" s="98"/>
      <c r="C86" s="137" t="s">
        <v>326</v>
      </c>
      <c r="D86" s="104" t="s">
        <v>12</v>
      </c>
      <c r="E86" s="105">
        <v>1</v>
      </c>
      <c r="F86" s="110" t="str">
        <f>PR2_pozwolenie!F91</f>
        <v>x</v>
      </c>
      <c r="G86" s="130"/>
      <c r="H86" s="44"/>
      <c r="I86" s="44"/>
      <c r="J86" s="124"/>
      <c r="K86" s="121"/>
      <c r="N86" s="313"/>
      <c r="O86" s="324"/>
    </row>
    <row r="87" spans="1:15" s="3" customFormat="1" ht="18.75" customHeight="1">
      <c r="A87" s="117">
        <v>23</v>
      </c>
      <c r="B87" s="87" t="s">
        <v>104</v>
      </c>
      <c r="C87" s="136" t="s">
        <v>176</v>
      </c>
      <c r="D87" s="109" t="s">
        <v>11</v>
      </c>
      <c r="E87" s="110" t="s">
        <v>34</v>
      </c>
      <c r="F87" s="110" t="e">
        <f>PR2_pozwolenie!#REF!</f>
        <v>#REF!</v>
      </c>
      <c r="G87" s="130"/>
      <c r="H87" s="44"/>
      <c r="I87" s="44"/>
      <c r="J87" s="124"/>
      <c r="K87" s="121"/>
      <c r="N87" s="313">
        <v>1.35</v>
      </c>
      <c r="O87" s="321">
        <f>J87*N87</f>
        <v>0</v>
      </c>
    </row>
    <row r="88" spans="1:15" s="3" customFormat="1" ht="54.75" customHeight="1" hidden="1">
      <c r="A88" s="117"/>
      <c r="B88" s="98"/>
      <c r="C88" s="137" t="s">
        <v>313</v>
      </c>
      <c r="D88" s="104" t="s">
        <v>11</v>
      </c>
      <c r="E88" s="105">
        <v>11</v>
      </c>
      <c r="F88" s="110" t="e">
        <f>PR2_pozwolenie!#REF!</f>
        <v>#REF!</v>
      </c>
      <c r="G88" s="130"/>
      <c r="H88" s="44"/>
      <c r="I88" s="44"/>
      <c r="J88" s="124"/>
      <c r="K88" s="121"/>
      <c r="N88" s="313"/>
      <c r="O88" s="324"/>
    </row>
    <row r="89" spans="1:15" s="3" customFormat="1" ht="18" customHeight="1">
      <c r="A89" s="117">
        <v>24</v>
      </c>
      <c r="B89" s="87" t="s">
        <v>177</v>
      </c>
      <c r="C89" s="136" t="s">
        <v>309</v>
      </c>
      <c r="D89" s="109" t="s">
        <v>12</v>
      </c>
      <c r="E89" s="110" t="s">
        <v>34</v>
      </c>
      <c r="F89" s="110">
        <f>PR2_pozwolenie!F92</f>
        <v>4</v>
      </c>
      <c r="G89" s="130"/>
      <c r="H89" s="44"/>
      <c r="I89" s="44"/>
      <c r="J89" s="124"/>
      <c r="K89" s="121"/>
      <c r="M89" s="158"/>
      <c r="N89" s="313">
        <v>1</v>
      </c>
      <c r="O89" s="321">
        <f>J89*N89</f>
        <v>0</v>
      </c>
    </row>
    <row r="90" spans="1:15" s="3" customFormat="1" ht="54.75" customHeight="1" hidden="1">
      <c r="A90" s="117"/>
      <c r="B90" s="98"/>
      <c r="C90" s="137" t="s">
        <v>260</v>
      </c>
      <c r="D90" s="104" t="s">
        <v>12</v>
      </c>
      <c r="E90" s="105">
        <v>4</v>
      </c>
      <c r="F90" s="105" t="s">
        <v>34</v>
      </c>
      <c r="G90" s="130"/>
      <c r="H90" s="44"/>
      <c r="I90" s="44"/>
      <c r="J90" s="124"/>
      <c r="K90" s="123"/>
      <c r="N90" s="313"/>
      <c r="O90" s="324"/>
    </row>
    <row r="91" spans="1:15" s="3" customFormat="1" ht="25.5" customHeight="1">
      <c r="A91" s="818" t="s">
        <v>438</v>
      </c>
      <c r="B91" s="819"/>
      <c r="C91" s="819"/>
      <c r="D91" s="819"/>
      <c r="E91" s="819"/>
      <c r="F91" s="819"/>
      <c r="G91" s="819"/>
      <c r="H91" s="819"/>
      <c r="I91" s="819"/>
      <c r="J91" s="820"/>
      <c r="K91" s="266"/>
      <c r="N91" s="313"/>
      <c r="O91" s="266">
        <f>O67+O74+O77+O83+O85+O87+O89</f>
        <v>0</v>
      </c>
    </row>
    <row r="92" spans="1:15" s="3" customFormat="1" ht="27" customHeight="1">
      <c r="A92" s="28" t="s">
        <v>53</v>
      </c>
      <c r="B92" s="25" t="s">
        <v>61</v>
      </c>
      <c r="C92" s="795" t="s">
        <v>204</v>
      </c>
      <c r="D92" s="796"/>
      <c r="E92" s="796"/>
      <c r="F92" s="796"/>
      <c r="G92" s="796"/>
      <c r="H92" s="796"/>
      <c r="I92" s="796"/>
      <c r="J92" s="796"/>
      <c r="K92" s="797"/>
      <c r="N92" s="313"/>
      <c r="O92" s="324"/>
    </row>
    <row r="93" spans="1:15" s="1" customFormat="1" ht="18" customHeight="1">
      <c r="A93" s="84" t="s">
        <v>34</v>
      </c>
      <c r="B93" s="85" t="s">
        <v>107</v>
      </c>
      <c r="C93" s="814" t="s">
        <v>108</v>
      </c>
      <c r="D93" s="814"/>
      <c r="E93" s="814"/>
      <c r="F93" s="814"/>
      <c r="G93" s="814"/>
      <c r="H93" s="814"/>
      <c r="I93" s="814"/>
      <c r="J93" s="814"/>
      <c r="K93" s="815"/>
      <c r="N93" s="308"/>
      <c r="O93" s="319"/>
    </row>
    <row r="94" spans="1:15" s="1" customFormat="1" ht="27.75" customHeight="1">
      <c r="A94" s="119">
        <v>25</v>
      </c>
      <c r="B94" s="112" t="s">
        <v>261</v>
      </c>
      <c r="C94" s="139" t="s">
        <v>262</v>
      </c>
      <c r="D94" s="109" t="s">
        <v>199</v>
      </c>
      <c r="E94" s="110" t="s">
        <v>34</v>
      </c>
      <c r="F94" s="110">
        <f>PR2_pozwolenie!F98</f>
        <v>20.5</v>
      </c>
      <c r="G94" s="133"/>
      <c r="H94" s="132"/>
      <c r="I94" s="132"/>
      <c r="J94" s="124"/>
      <c r="K94" s="121"/>
      <c r="N94" s="308">
        <v>22.99</v>
      </c>
      <c r="O94" s="321">
        <f>J94*N94</f>
        <v>0</v>
      </c>
    </row>
    <row r="95" spans="1:15" s="1" customFormat="1" ht="66.75" customHeight="1" hidden="1">
      <c r="A95" s="119"/>
      <c r="B95" s="112"/>
      <c r="C95" s="138" t="s">
        <v>318</v>
      </c>
      <c r="D95" s="111" t="s">
        <v>200</v>
      </c>
      <c r="E95" s="107">
        <v>247.85</v>
      </c>
      <c r="F95" s="107" t="s">
        <v>34</v>
      </c>
      <c r="G95" s="133"/>
      <c r="H95" s="132"/>
      <c r="I95" s="132"/>
      <c r="J95" s="124"/>
      <c r="K95" s="123"/>
      <c r="N95" s="308"/>
      <c r="O95" s="319"/>
    </row>
    <row r="96" spans="1:15" s="1" customFormat="1" ht="18.75" customHeight="1">
      <c r="A96" s="84" t="s">
        <v>34</v>
      </c>
      <c r="B96" s="85" t="s">
        <v>125</v>
      </c>
      <c r="C96" s="814" t="s">
        <v>126</v>
      </c>
      <c r="D96" s="814"/>
      <c r="E96" s="814"/>
      <c r="F96" s="814"/>
      <c r="G96" s="814"/>
      <c r="H96" s="814"/>
      <c r="I96" s="814"/>
      <c r="J96" s="814"/>
      <c r="K96" s="815"/>
      <c r="N96" s="308"/>
      <c r="O96" s="319"/>
    </row>
    <row r="97" spans="1:15" s="1" customFormat="1" ht="21" customHeight="1">
      <c r="A97" s="119">
        <v>26</v>
      </c>
      <c r="B97" s="112" t="s">
        <v>179</v>
      </c>
      <c r="C97" s="139" t="s">
        <v>180</v>
      </c>
      <c r="D97" s="109" t="s">
        <v>199</v>
      </c>
      <c r="E97" s="110" t="s">
        <v>34</v>
      </c>
      <c r="F97" s="110">
        <f>PR2_pozwolenie!F101</f>
        <v>20.5</v>
      </c>
      <c r="G97" s="133"/>
      <c r="H97" s="132"/>
      <c r="I97" s="132"/>
      <c r="J97" s="124"/>
      <c r="K97" s="121"/>
      <c r="N97" s="308">
        <v>76.09</v>
      </c>
      <c r="O97" s="321">
        <f>J97*N97</f>
        <v>0</v>
      </c>
    </row>
    <row r="98" spans="1:15" s="1" customFormat="1" ht="57.75" customHeight="1" hidden="1">
      <c r="A98" s="119"/>
      <c r="B98" s="112"/>
      <c r="C98" s="138" t="s">
        <v>319</v>
      </c>
      <c r="D98" s="111" t="s">
        <v>200</v>
      </c>
      <c r="E98" s="107">
        <v>364.73</v>
      </c>
      <c r="F98" s="107" t="s">
        <v>34</v>
      </c>
      <c r="G98" s="133"/>
      <c r="H98" s="132"/>
      <c r="I98" s="132"/>
      <c r="J98" s="124"/>
      <c r="K98" s="123"/>
      <c r="N98" s="308"/>
      <c r="O98" s="319"/>
    </row>
    <row r="99" spans="1:15" s="1" customFormat="1" ht="19.5" customHeight="1">
      <c r="A99" s="84" t="s">
        <v>34</v>
      </c>
      <c r="B99" s="85" t="s">
        <v>17</v>
      </c>
      <c r="C99" s="814" t="s">
        <v>18</v>
      </c>
      <c r="D99" s="814"/>
      <c r="E99" s="814"/>
      <c r="F99" s="814"/>
      <c r="G99" s="814"/>
      <c r="H99" s="814"/>
      <c r="I99" s="814"/>
      <c r="J99" s="814"/>
      <c r="K99" s="815"/>
      <c r="N99" s="308"/>
      <c r="O99" s="319"/>
    </row>
    <row r="100" spans="1:15" s="1" customFormat="1" ht="19.5" customHeight="1">
      <c r="A100" s="119">
        <v>27</v>
      </c>
      <c r="B100" s="113" t="s">
        <v>181</v>
      </c>
      <c r="C100" s="139" t="s">
        <v>182</v>
      </c>
      <c r="D100" s="109" t="s">
        <v>199</v>
      </c>
      <c r="E100" s="110" t="s">
        <v>34</v>
      </c>
      <c r="F100" s="110">
        <f>PR2_pozwolenie!F104</f>
        <v>424.62</v>
      </c>
      <c r="G100" s="133"/>
      <c r="H100" s="132"/>
      <c r="I100" s="132"/>
      <c r="J100" s="124"/>
      <c r="K100" s="121"/>
      <c r="N100" s="308">
        <v>49.3</v>
      </c>
      <c r="O100" s="321">
        <f>J100*N100</f>
        <v>0</v>
      </c>
    </row>
    <row r="101" spans="1:15" s="1" customFormat="1" ht="105.75" customHeight="1" hidden="1">
      <c r="A101" s="118"/>
      <c r="B101" s="114"/>
      <c r="C101" s="138" t="s">
        <v>320</v>
      </c>
      <c r="D101" s="111" t="s">
        <v>200</v>
      </c>
      <c r="E101" s="107">
        <v>204.62</v>
      </c>
      <c r="F101" s="110" t="str">
        <f>PR2_pozwolenie!F105</f>
        <v>x</v>
      </c>
      <c r="G101" s="133"/>
      <c r="H101" s="132"/>
      <c r="I101" s="132"/>
      <c r="J101" s="124"/>
      <c r="K101" s="121"/>
      <c r="N101" s="308"/>
      <c r="O101" s="319"/>
    </row>
    <row r="102" spans="1:15" s="8" customFormat="1" ht="18.75" customHeight="1">
      <c r="A102" s="119">
        <v>28</v>
      </c>
      <c r="B102" s="113" t="s">
        <v>183</v>
      </c>
      <c r="C102" s="139" t="s">
        <v>127</v>
      </c>
      <c r="D102" s="109" t="s">
        <v>199</v>
      </c>
      <c r="E102" s="110" t="s">
        <v>34</v>
      </c>
      <c r="F102" s="110">
        <f>PR2_pozwolenie!F106</f>
        <v>203.2</v>
      </c>
      <c r="G102" s="140"/>
      <c r="H102" s="801"/>
      <c r="I102" s="801"/>
      <c r="J102" s="124"/>
      <c r="K102" s="121"/>
      <c r="N102" s="311">
        <v>79.32</v>
      </c>
      <c r="O102" s="321">
        <f aca="true" t="shared" si="5" ref="O102:O121">J102*N102</f>
        <v>0</v>
      </c>
    </row>
    <row r="103" spans="1:15" s="11" customFormat="1" ht="105.75" customHeight="1" hidden="1">
      <c r="A103" s="118"/>
      <c r="B103" s="114"/>
      <c r="C103" s="138" t="s">
        <v>321</v>
      </c>
      <c r="D103" s="111" t="s">
        <v>200</v>
      </c>
      <c r="E103" s="107">
        <v>204.62</v>
      </c>
      <c r="F103" s="110" t="str">
        <f>PR2_pozwolenie!F107</f>
        <v>x</v>
      </c>
      <c r="G103" s="141"/>
      <c r="H103" s="43">
        <v>1.26</v>
      </c>
      <c r="I103" s="43">
        <f>H103*F102</f>
        <v>256.03</v>
      </c>
      <c r="J103" s="124"/>
      <c r="K103" s="121"/>
      <c r="N103" s="314"/>
      <c r="O103" s="321">
        <f t="shared" si="5"/>
        <v>0</v>
      </c>
    </row>
    <row r="104" spans="1:15" s="11" customFormat="1" ht="18.75" customHeight="1">
      <c r="A104" s="119">
        <v>29</v>
      </c>
      <c r="B104" s="112" t="s">
        <v>184</v>
      </c>
      <c r="C104" s="139" t="s">
        <v>185</v>
      </c>
      <c r="D104" s="109" t="s">
        <v>199</v>
      </c>
      <c r="E104" s="110" t="s">
        <v>34</v>
      </c>
      <c r="F104" s="110">
        <f>PR2_pozwolenie!F108</f>
        <v>424.62</v>
      </c>
      <c r="G104" s="141"/>
      <c r="H104" s="43"/>
      <c r="I104" s="43"/>
      <c r="J104" s="124"/>
      <c r="K104" s="121"/>
      <c r="N104" s="314">
        <v>49.3</v>
      </c>
      <c r="O104" s="321">
        <f t="shared" si="5"/>
        <v>0</v>
      </c>
    </row>
    <row r="105" spans="1:15" s="11" customFormat="1" ht="120.75" customHeight="1" hidden="1">
      <c r="A105" s="119"/>
      <c r="B105" s="114"/>
      <c r="C105" s="186" t="s">
        <v>322</v>
      </c>
      <c r="D105" s="111" t="s">
        <v>200</v>
      </c>
      <c r="E105" s="107">
        <v>204.62</v>
      </c>
      <c r="F105" s="110" t="str">
        <f>PR2_pozwolenie!F109</f>
        <v>x</v>
      </c>
      <c r="G105" s="141"/>
      <c r="H105" s="43"/>
      <c r="I105" s="43"/>
      <c r="J105" s="124"/>
      <c r="K105" s="121"/>
      <c r="N105" s="314"/>
      <c r="O105" s="321">
        <f t="shared" si="5"/>
        <v>0</v>
      </c>
    </row>
    <row r="106" spans="1:15" s="8" customFormat="1" ht="17.25" customHeight="1">
      <c r="A106" s="119">
        <v>30</v>
      </c>
      <c r="B106" s="112" t="s">
        <v>78</v>
      </c>
      <c r="C106" s="139" t="s">
        <v>77</v>
      </c>
      <c r="D106" s="109" t="s">
        <v>199</v>
      </c>
      <c r="E106" s="110" t="s">
        <v>34</v>
      </c>
      <c r="F106" s="110">
        <f>PR2_pozwolenie!F110</f>
        <v>203.2</v>
      </c>
      <c r="G106" s="134"/>
      <c r="H106" s="45"/>
      <c r="I106" s="45"/>
      <c r="J106" s="124"/>
      <c r="K106" s="121"/>
      <c r="N106" s="311">
        <v>79.32</v>
      </c>
      <c r="O106" s="321">
        <f t="shared" si="5"/>
        <v>0</v>
      </c>
    </row>
    <row r="107" spans="1:15" s="8" customFormat="1" ht="114" customHeight="1" hidden="1">
      <c r="A107" s="119"/>
      <c r="B107" s="114"/>
      <c r="C107" s="138" t="s">
        <v>323</v>
      </c>
      <c r="D107" s="111" t="s">
        <v>200</v>
      </c>
      <c r="E107" s="107">
        <v>204.62</v>
      </c>
      <c r="F107" s="110" t="s">
        <v>34</v>
      </c>
      <c r="G107" s="134"/>
      <c r="H107" s="45"/>
      <c r="I107" s="45"/>
      <c r="J107" s="124"/>
      <c r="K107" s="122"/>
      <c r="N107" s="311"/>
      <c r="O107" s="321">
        <f t="shared" si="5"/>
        <v>0</v>
      </c>
    </row>
    <row r="108" spans="1:15" s="8" customFormat="1" ht="18" customHeight="1">
      <c r="A108" s="84" t="s">
        <v>34</v>
      </c>
      <c r="B108" s="85" t="s">
        <v>19</v>
      </c>
      <c r="C108" s="814" t="s">
        <v>20</v>
      </c>
      <c r="D108" s="814"/>
      <c r="E108" s="814"/>
      <c r="F108" s="814"/>
      <c r="G108" s="814"/>
      <c r="H108" s="814"/>
      <c r="I108" s="814"/>
      <c r="J108" s="814"/>
      <c r="K108" s="815"/>
      <c r="N108" s="311"/>
      <c r="O108" s="321">
        <f t="shared" si="5"/>
        <v>0</v>
      </c>
    </row>
    <row r="109" spans="1:15" s="8" customFormat="1" ht="29.25" customHeight="1">
      <c r="A109" s="119">
        <v>31</v>
      </c>
      <c r="B109" s="113" t="s">
        <v>186</v>
      </c>
      <c r="C109" s="142" t="s">
        <v>187</v>
      </c>
      <c r="D109" s="109" t="s">
        <v>199</v>
      </c>
      <c r="E109" s="110" t="s">
        <v>34</v>
      </c>
      <c r="F109" s="110">
        <f>PR2_pozwolenie!F115</f>
        <v>203.2</v>
      </c>
      <c r="G109" s="140"/>
      <c r="H109" s="801"/>
      <c r="I109" s="801"/>
      <c r="J109" s="110"/>
      <c r="K109" s="121"/>
      <c r="N109" s="311">
        <v>74.53</v>
      </c>
      <c r="O109" s="321">
        <f t="shared" si="5"/>
        <v>0</v>
      </c>
    </row>
    <row r="110" spans="1:15" s="8" customFormat="1" ht="70.5" customHeight="1" hidden="1">
      <c r="A110" s="119"/>
      <c r="B110" s="114"/>
      <c r="C110" s="138" t="s">
        <v>324</v>
      </c>
      <c r="D110" s="111" t="s">
        <v>200</v>
      </c>
      <c r="E110" s="107">
        <v>338.55</v>
      </c>
      <c r="F110" s="110" t="str">
        <f>PR2_pozwolenie!F116</f>
        <v>x</v>
      </c>
      <c r="G110" s="140"/>
      <c r="H110" s="283"/>
      <c r="I110" s="283"/>
      <c r="J110" s="110"/>
      <c r="K110" s="121"/>
      <c r="L110" s="8">
        <v>40</v>
      </c>
      <c r="M110" s="8">
        <f>97*1.7+4.3*1.7+29*1.7+18.2*1.7+4*1.7+12*1.7</f>
        <v>279.65</v>
      </c>
      <c r="N110" s="311"/>
      <c r="O110" s="321">
        <f t="shared" si="5"/>
        <v>0</v>
      </c>
    </row>
    <row r="111" spans="1:15" s="8" customFormat="1" ht="27.75" customHeight="1">
      <c r="A111" s="119">
        <v>32</v>
      </c>
      <c r="B111" s="113" t="s">
        <v>263</v>
      </c>
      <c r="C111" s="142" t="s">
        <v>264</v>
      </c>
      <c r="D111" s="109" t="s">
        <v>199</v>
      </c>
      <c r="E111" s="110" t="s">
        <v>34</v>
      </c>
      <c r="F111" s="110" t="e">
        <f>PR2_pozwolenie!#REF!</f>
        <v>#REF!</v>
      </c>
      <c r="G111" s="140"/>
      <c r="H111" s="283"/>
      <c r="I111" s="283"/>
      <c r="J111" s="110"/>
      <c r="K111" s="121"/>
      <c r="N111" s="311">
        <v>26.68</v>
      </c>
      <c r="O111" s="321">
        <f t="shared" si="5"/>
        <v>0</v>
      </c>
    </row>
    <row r="112" spans="1:15" s="8" customFormat="1" ht="45.75" customHeight="1" hidden="1">
      <c r="A112" s="119"/>
      <c r="B112" s="114"/>
      <c r="C112" s="138" t="s">
        <v>325</v>
      </c>
      <c r="D112" s="111" t="s">
        <v>200</v>
      </c>
      <c r="E112" s="107">
        <v>160.2</v>
      </c>
      <c r="F112" s="110" t="s">
        <v>34</v>
      </c>
      <c r="G112" s="134"/>
      <c r="H112" s="43">
        <v>42.31</v>
      </c>
      <c r="I112" s="43" t="e">
        <f>H112*F111</f>
        <v>#REF!</v>
      </c>
      <c r="J112" s="110"/>
      <c r="K112" s="122">
        <f>158*0.9+40*0.45</f>
        <v>160.2</v>
      </c>
      <c r="N112" s="311"/>
      <c r="O112" s="321">
        <f t="shared" si="5"/>
        <v>0</v>
      </c>
    </row>
    <row r="113" spans="1:15" s="8" customFormat="1" ht="18" customHeight="1">
      <c r="A113" s="84" t="s">
        <v>34</v>
      </c>
      <c r="B113" s="85" t="s">
        <v>188</v>
      </c>
      <c r="C113" s="814" t="s">
        <v>265</v>
      </c>
      <c r="D113" s="814"/>
      <c r="E113" s="814"/>
      <c r="F113" s="814"/>
      <c r="G113" s="814"/>
      <c r="H113" s="814"/>
      <c r="I113" s="814"/>
      <c r="J113" s="814"/>
      <c r="K113" s="815"/>
      <c r="N113" s="311"/>
      <c r="O113" s="321">
        <f t="shared" si="5"/>
        <v>0</v>
      </c>
    </row>
    <row r="114" spans="1:15" s="8" customFormat="1" ht="16.5" customHeight="1">
      <c r="A114" s="119">
        <v>33</v>
      </c>
      <c r="B114" s="113" t="s">
        <v>267</v>
      </c>
      <c r="C114" s="142" t="s">
        <v>266</v>
      </c>
      <c r="D114" s="109" t="s">
        <v>199</v>
      </c>
      <c r="E114" s="110" t="s">
        <v>34</v>
      </c>
      <c r="F114" s="110">
        <f>PR2_pozwolenie!F120</f>
        <v>489.64</v>
      </c>
      <c r="G114" s="134"/>
      <c r="H114" s="43"/>
      <c r="I114" s="43"/>
      <c r="J114" s="110"/>
      <c r="K114" s="121"/>
      <c r="N114" s="311">
        <v>47.88</v>
      </c>
      <c r="O114" s="321">
        <f t="shared" si="5"/>
        <v>0</v>
      </c>
    </row>
    <row r="115" spans="1:15" s="8" customFormat="1" ht="41.25" customHeight="1" hidden="1">
      <c r="A115" s="119"/>
      <c r="B115" s="114"/>
      <c r="C115" s="138" t="s">
        <v>327</v>
      </c>
      <c r="D115" s="111" t="s">
        <v>200</v>
      </c>
      <c r="E115" s="107">
        <v>284.94</v>
      </c>
      <c r="F115" s="110" t="s">
        <v>34</v>
      </c>
      <c r="G115" s="134"/>
      <c r="H115" s="43"/>
      <c r="I115" s="43"/>
      <c r="J115" s="110"/>
      <c r="K115" s="122">
        <f>158*1.53+40*1.08</f>
        <v>284.94</v>
      </c>
      <c r="N115" s="311"/>
      <c r="O115" s="321">
        <f t="shared" si="5"/>
        <v>0</v>
      </c>
    </row>
    <row r="116" spans="1:15" s="8" customFormat="1" ht="18" customHeight="1">
      <c r="A116" s="84" t="s">
        <v>34</v>
      </c>
      <c r="B116" s="85" t="s">
        <v>129</v>
      </c>
      <c r="C116" s="814" t="s">
        <v>141</v>
      </c>
      <c r="D116" s="814"/>
      <c r="E116" s="814"/>
      <c r="F116" s="814"/>
      <c r="G116" s="814"/>
      <c r="H116" s="814"/>
      <c r="I116" s="814"/>
      <c r="J116" s="814"/>
      <c r="K116" s="815"/>
      <c r="N116" s="311"/>
      <c r="O116" s="321">
        <f t="shared" si="5"/>
        <v>0</v>
      </c>
    </row>
    <row r="117" spans="1:15" s="8" customFormat="1" ht="18" customHeight="1">
      <c r="A117" s="119">
        <v>34</v>
      </c>
      <c r="B117" s="113" t="s">
        <v>212</v>
      </c>
      <c r="C117" s="142" t="s">
        <v>189</v>
      </c>
      <c r="D117" s="109" t="s">
        <v>199</v>
      </c>
      <c r="E117" s="110" t="s">
        <v>34</v>
      </c>
      <c r="F117" s="110" t="e">
        <f>PR2_pozwolenie!#REF!</f>
        <v>#REF!</v>
      </c>
      <c r="G117" s="134"/>
      <c r="H117" s="43"/>
      <c r="I117" s="43"/>
      <c r="J117" s="110"/>
      <c r="K117" s="121"/>
      <c r="N117" s="311"/>
      <c r="O117" s="321">
        <f t="shared" si="5"/>
        <v>0</v>
      </c>
    </row>
    <row r="118" spans="1:15" s="8" customFormat="1" ht="57.75" customHeight="1" hidden="1">
      <c r="A118" s="119"/>
      <c r="B118" s="114"/>
      <c r="C118" s="138" t="s">
        <v>328</v>
      </c>
      <c r="D118" s="111" t="s">
        <v>200</v>
      </c>
      <c r="E118" s="107">
        <v>8.04</v>
      </c>
      <c r="F118" s="110" t="s">
        <v>34</v>
      </c>
      <c r="G118" s="134"/>
      <c r="H118" s="43"/>
      <c r="I118" s="43"/>
      <c r="J118" s="110"/>
      <c r="K118" s="122"/>
      <c r="N118" s="311"/>
      <c r="O118" s="321">
        <f t="shared" si="5"/>
        <v>0</v>
      </c>
    </row>
    <row r="119" spans="1:15" s="8" customFormat="1" ht="18" customHeight="1">
      <c r="A119" s="84" t="s">
        <v>34</v>
      </c>
      <c r="B119" s="85" t="s">
        <v>268</v>
      </c>
      <c r="C119" s="814" t="s">
        <v>269</v>
      </c>
      <c r="D119" s="814"/>
      <c r="E119" s="814"/>
      <c r="F119" s="814"/>
      <c r="G119" s="814"/>
      <c r="H119" s="814"/>
      <c r="I119" s="814"/>
      <c r="J119" s="814"/>
      <c r="K119" s="815"/>
      <c r="N119" s="311"/>
      <c r="O119" s="321">
        <f t="shared" si="5"/>
        <v>0</v>
      </c>
    </row>
    <row r="120" spans="1:15" s="8" customFormat="1" ht="18.75" customHeight="1">
      <c r="A120" s="119">
        <v>35</v>
      </c>
      <c r="B120" s="113" t="s">
        <v>288</v>
      </c>
      <c r="C120" s="142" t="s">
        <v>270</v>
      </c>
      <c r="D120" s="109" t="s">
        <v>199</v>
      </c>
      <c r="E120" s="110" t="s">
        <v>34</v>
      </c>
      <c r="F120" s="110" t="e">
        <f>PR2_pozwolenie!#REF!</f>
        <v>#REF!</v>
      </c>
      <c r="G120" s="134"/>
      <c r="H120" s="43"/>
      <c r="I120" s="43"/>
      <c r="J120" s="110"/>
      <c r="K120" s="121"/>
      <c r="M120" s="125"/>
      <c r="N120" s="311">
        <v>18.94</v>
      </c>
      <c r="O120" s="321">
        <f t="shared" si="5"/>
        <v>0</v>
      </c>
    </row>
    <row r="121" spans="1:15" s="8" customFormat="1" ht="43.5" customHeight="1" hidden="1">
      <c r="A121" s="119"/>
      <c r="B121" s="114"/>
      <c r="C121" s="138" t="s">
        <v>329</v>
      </c>
      <c r="D121" s="111" t="s">
        <v>200</v>
      </c>
      <c r="E121" s="107">
        <v>141.21</v>
      </c>
      <c r="F121" s="110" t="s">
        <v>34</v>
      </c>
      <c r="G121" s="134"/>
      <c r="H121" s="43"/>
      <c r="I121" s="43"/>
      <c r="J121" s="110"/>
      <c r="K121" s="122"/>
      <c r="N121" s="311"/>
      <c r="O121" s="321">
        <f t="shared" si="5"/>
        <v>0</v>
      </c>
    </row>
    <row r="122" spans="1:15" s="8" customFormat="1" ht="24" customHeight="1">
      <c r="A122" s="805" t="s">
        <v>439</v>
      </c>
      <c r="B122" s="806"/>
      <c r="C122" s="806"/>
      <c r="D122" s="806"/>
      <c r="E122" s="806"/>
      <c r="F122" s="806"/>
      <c r="G122" s="806"/>
      <c r="H122" s="806"/>
      <c r="I122" s="806"/>
      <c r="J122" s="807"/>
      <c r="K122" s="267"/>
      <c r="N122" s="311"/>
      <c r="O122" s="267">
        <f>O94+O97+O100+O102+O104+O106++O109+O111+O114+O117+O120</f>
        <v>0</v>
      </c>
    </row>
    <row r="123" spans="1:15" s="8" customFormat="1" ht="27.75" customHeight="1">
      <c r="A123" s="28" t="s">
        <v>65</v>
      </c>
      <c r="B123" s="25" t="s">
        <v>63</v>
      </c>
      <c r="C123" s="816" t="s">
        <v>205</v>
      </c>
      <c r="D123" s="816"/>
      <c r="E123" s="816"/>
      <c r="F123" s="816"/>
      <c r="G123" s="816"/>
      <c r="H123" s="816"/>
      <c r="I123" s="816"/>
      <c r="J123" s="816"/>
      <c r="K123" s="817"/>
      <c r="N123" s="311"/>
      <c r="O123" s="322"/>
    </row>
    <row r="124" spans="1:15" s="8" customFormat="1" ht="18" customHeight="1">
      <c r="A124" s="84" t="s">
        <v>34</v>
      </c>
      <c r="B124" s="85" t="s">
        <v>128</v>
      </c>
      <c r="C124" s="814" t="s">
        <v>142</v>
      </c>
      <c r="D124" s="814"/>
      <c r="E124" s="814"/>
      <c r="F124" s="814"/>
      <c r="G124" s="814"/>
      <c r="H124" s="814"/>
      <c r="I124" s="814"/>
      <c r="J124" s="814"/>
      <c r="K124" s="815"/>
      <c r="N124" s="311"/>
      <c r="O124" s="322"/>
    </row>
    <row r="125" spans="1:15" s="8" customFormat="1" ht="20.25" customHeight="1">
      <c r="A125" s="119">
        <v>36</v>
      </c>
      <c r="B125" s="112" t="s">
        <v>272</v>
      </c>
      <c r="C125" s="139" t="s">
        <v>271</v>
      </c>
      <c r="D125" s="109" t="s">
        <v>199</v>
      </c>
      <c r="E125" s="110" t="s">
        <v>34</v>
      </c>
      <c r="F125" s="100">
        <f>PR2_pozwolenie!F124</f>
        <v>42.07</v>
      </c>
      <c r="G125" s="134"/>
      <c r="H125" s="45"/>
      <c r="I125" s="45"/>
      <c r="J125" s="110"/>
      <c r="K125" s="121"/>
      <c r="N125" s="311">
        <v>18.56</v>
      </c>
      <c r="O125" s="321">
        <f>J125*N125</f>
        <v>0</v>
      </c>
    </row>
    <row r="126" spans="1:15" s="8" customFormat="1" ht="84" customHeight="1" hidden="1">
      <c r="A126" s="118"/>
      <c r="B126" s="114"/>
      <c r="C126" s="138" t="s">
        <v>330</v>
      </c>
      <c r="D126" s="111" t="s">
        <v>200</v>
      </c>
      <c r="E126" s="107">
        <v>42.07</v>
      </c>
      <c r="F126" s="107" t="s">
        <v>34</v>
      </c>
      <c r="G126" s="134"/>
      <c r="H126" s="45"/>
      <c r="I126" s="45"/>
      <c r="J126" s="110"/>
      <c r="K126" s="122"/>
      <c r="N126" s="311"/>
      <c r="O126" s="322"/>
    </row>
    <row r="127" spans="1:103" s="20" customFormat="1" ht="18.75" customHeight="1">
      <c r="A127" s="84" t="s">
        <v>34</v>
      </c>
      <c r="B127" s="85" t="s">
        <v>21</v>
      </c>
      <c r="C127" s="798" t="s">
        <v>22</v>
      </c>
      <c r="D127" s="799"/>
      <c r="E127" s="799"/>
      <c r="F127" s="799"/>
      <c r="G127" s="799"/>
      <c r="H127" s="799"/>
      <c r="I127" s="799"/>
      <c r="J127" s="799"/>
      <c r="K127" s="800"/>
      <c r="L127" s="79"/>
      <c r="M127" s="79"/>
      <c r="N127" s="310"/>
      <c r="O127" s="321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</row>
    <row r="128" spans="1:103" s="20" customFormat="1" ht="19.5" customHeight="1">
      <c r="A128" s="119">
        <v>37</v>
      </c>
      <c r="B128" s="113" t="s">
        <v>286</v>
      </c>
      <c r="C128" s="139" t="s">
        <v>273</v>
      </c>
      <c r="D128" s="109" t="s">
        <v>199</v>
      </c>
      <c r="E128" s="110" t="s">
        <v>34</v>
      </c>
      <c r="F128" s="100">
        <f>PR2_pozwolenie!F127</f>
        <v>203.2</v>
      </c>
      <c r="G128" s="204"/>
      <c r="H128" s="132"/>
      <c r="I128" s="132"/>
      <c r="J128" s="110"/>
      <c r="K128" s="121"/>
      <c r="L128" s="79"/>
      <c r="M128" s="79"/>
      <c r="N128" s="310">
        <v>53.55</v>
      </c>
      <c r="O128" s="321">
        <f aca="true" t="shared" si="6" ref="O128:O139">J128*N128</f>
        <v>0</v>
      </c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</row>
    <row r="129" spans="1:103" s="20" customFormat="1" ht="70.5" customHeight="1" hidden="1">
      <c r="A129" s="118"/>
      <c r="B129" s="114"/>
      <c r="C129" s="138" t="s">
        <v>331</v>
      </c>
      <c r="D129" s="111" t="s">
        <v>200</v>
      </c>
      <c r="E129" s="107">
        <v>82.81</v>
      </c>
      <c r="F129" s="100" t="str">
        <f>PR2_pozwolenie!F128</f>
        <v>x</v>
      </c>
      <c r="G129" s="204"/>
      <c r="H129" s="132"/>
      <c r="I129" s="132"/>
      <c r="J129" s="110"/>
      <c r="K129" s="121"/>
      <c r="L129" s="79"/>
      <c r="M129" s="79"/>
      <c r="N129" s="310"/>
      <c r="O129" s="321">
        <f t="shared" si="6"/>
        <v>0</v>
      </c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</row>
    <row r="130" spans="1:103" s="179" customFormat="1" ht="18" customHeight="1">
      <c r="A130" s="119">
        <v>38</v>
      </c>
      <c r="B130" s="113" t="s">
        <v>286</v>
      </c>
      <c r="C130" s="139" t="s">
        <v>274</v>
      </c>
      <c r="D130" s="109" t="s">
        <v>199</v>
      </c>
      <c r="E130" s="110" t="s">
        <v>34</v>
      </c>
      <c r="F130" s="100">
        <f>PR2_pozwolenie!F129</f>
        <v>30</v>
      </c>
      <c r="G130" s="205"/>
      <c r="H130" s="801"/>
      <c r="I130" s="801"/>
      <c r="J130" s="110"/>
      <c r="K130" s="121"/>
      <c r="L130" s="178"/>
      <c r="M130" s="178"/>
      <c r="N130" s="307">
        <v>31.49</v>
      </c>
      <c r="O130" s="321">
        <f t="shared" si="6"/>
        <v>0</v>
      </c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178"/>
      <c r="AQ130" s="178"/>
      <c r="AR130" s="178"/>
      <c r="AS130" s="178"/>
      <c r="AT130" s="178"/>
      <c r="AU130" s="178"/>
      <c r="AV130" s="178"/>
      <c r="AW130" s="178"/>
      <c r="AX130" s="178"/>
      <c r="AY130" s="178"/>
      <c r="AZ130" s="178"/>
      <c r="BA130" s="178"/>
      <c r="BB130" s="178"/>
      <c r="BC130" s="178"/>
      <c r="BD130" s="178"/>
      <c r="BE130" s="178"/>
      <c r="BF130" s="178"/>
      <c r="BG130" s="178"/>
      <c r="BH130" s="178"/>
      <c r="BI130" s="178"/>
      <c r="BJ130" s="178"/>
      <c r="BK130" s="178"/>
      <c r="BL130" s="178"/>
      <c r="BM130" s="178"/>
      <c r="BN130" s="178"/>
      <c r="BO130" s="178"/>
      <c r="BP130" s="178"/>
      <c r="BQ130" s="178"/>
      <c r="BR130" s="178"/>
      <c r="BS130" s="178"/>
      <c r="BT130" s="178"/>
      <c r="BU130" s="178"/>
      <c r="BV130" s="178"/>
      <c r="BW130" s="178"/>
      <c r="BX130" s="178"/>
      <c r="BY130" s="178"/>
      <c r="BZ130" s="178"/>
      <c r="CA130" s="178"/>
      <c r="CB130" s="178"/>
      <c r="CC130" s="178"/>
      <c r="CD130" s="178"/>
      <c r="CE130" s="178"/>
      <c r="CF130" s="178"/>
      <c r="CG130" s="178"/>
      <c r="CH130" s="178"/>
      <c r="CI130" s="178"/>
      <c r="CJ130" s="178"/>
      <c r="CK130" s="178"/>
      <c r="CL130" s="178"/>
      <c r="CM130" s="178"/>
      <c r="CN130" s="178"/>
      <c r="CO130" s="178"/>
      <c r="CP130" s="178"/>
      <c r="CQ130" s="178"/>
      <c r="CR130" s="178"/>
      <c r="CS130" s="178"/>
      <c r="CT130" s="178"/>
      <c r="CU130" s="178"/>
      <c r="CV130" s="178"/>
      <c r="CW130" s="178"/>
      <c r="CX130" s="178"/>
      <c r="CY130" s="178"/>
    </row>
    <row r="131" spans="1:103" s="179" customFormat="1" ht="47.25" customHeight="1" hidden="1">
      <c r="A131" s="118"/>
      <c r="B131" s="114"/>
      <c r="C131" s="138" t="s">
        <v>332</v>
      </c>
      <c r="D131" s="111" t="s">
        <v>200</v>
      </c>
      <c r="E131" s="107">
        <v>151.3</v>
      </c>
      <c r="F131" s="100" t="str">
        <f>PR2_pozwolenie!F130</f>
        <v>x</v>
      </c>
      <c r="G131" s="205"/>
      <c r="H131" s="43">
        <v>24.73</v>
      </c>
      <c r="I131" s="43">
        <f>H131*F130</f>
        <v>741.9</v>
      </c>
      <c r="J131" s="110"/>
      <c r="K131" s="121"/>
      <c r="L131" s="178"/>
      <c r="M131" s="178"/>
      <c r="N131" s="307"/>
      <c r="O131" s="321">
        <f t="shared" si="6"/>
        <v>0</v>
      </c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8"/>
      <c r="AS131" s="178"/>
      <c r="AT131" s="178"/>
      <c r="AU131" s="178"/>
      <c r="AV131" s="178"/>
      <c r="AW131" s="178"/>
      <c r="AX131" s="178"/>
      <c r="AY131" s="178"/>
      <c r="AZ131" s="178"/>
      <c r="BA131" s="178"/>
      <c r="BB131" s="178"/>
      <c r="BC131" s="178"/>
      <c r="BD131" s="178"/>
      <c r="BE131" s="178"/>
      <c r="BF131" s="178"/>
      <c r="BG131" s="178"/>
      <c r="BH131" s="178"/>
      <c r="BI131" s="178"/>
      <c r="BJ131" s="178"/>
      <c r="BK131" s="178"/>
      <c r="BL131" s="178"/>
      <c r="BM131" s="178"/>
      <c r="BN131" s="178"/>
      <c r="BO131" s="178"/>
      <c r="BP131" s="178"/>
      <c r="BQ131" s="178"/>
      <c r="BR131" s="178"/>
      <c r="BS131" s="178"/>
      <c r="BT131" s="178"/>
      <c r="BU131" s="178"/>
      <c r="BV131" s="178"/>
      <c r="BW131" s="178"/>
      <c r="BX131" s="178"/>
      <c r="BY131" s="178"/>
      <c r="BZ131" s="178"/>
      <c r="CA131" s="178"/>
      <c r="CB131" s="178"/>
      <c r="CC131" s="178"/>
      <c r="CD131" s="178"/>
      <c r="CE131" s="178"/>
      <c r="CF131" s="178"/>
      <c r="CG131" s="178"/>
      <c r="CH131" s="178"/>
      <c r="CI131" s="178"/>
      <c r="CJ131" s="178"/>
      <c r="CK131" s="178"/>
      <c r="CL131" s="178"/>
      <c r="CM131" s="178"/>
      <c r="CN131" s="178"/>
      <c r="CO131" s="178"/>
      <c r="CP131" s="178"/>
      <c r="CQ131" s="178"/>
      <c r="CR131" s="178"/>
      <c r="CS131" s="178"/>
      <c r="CT131" s="178"/>
      <c r="CU131" s="178"/>
      <c r="CV131" s="178"/>
      <c r="CW131" s="178"/>
      <c r="CX131" s="178"/>
      <c r="CY131" s="178"/>
    </row>
    <row r="132" spans="1:103" s="179" customFormat="1" ht="20.25" customHeight="1">
      <c r="A132" s="119">
        <v>39</v>
      </c>
      <c r="B132" s="112" t="s">
        <v>287</v>
      </c>
      <c r="C132" s="139" t="s">
        <v>275</v>
      </c>
      <c r="D132" s="109" t="s">
        <v>199</v>
      </c>
      <c r="E132" s="110" t="s">
        <v>34</v>
      </c>
      <c r="F132" s="100">
        <f>PR2_pozwolenie!F131</f>
        <v>43.7</v>
      </c>
      <c r="G132" s="205"/>
      <c r="H132" s="43"/>
      <c r="I132" s="43"/>
      <c r="J132" s="110"/>
      <c r="K132" s="121"/>
      <c r="L132" s="178"/>
      <c r="M132" s="178"/>
      <c r="N132" s="307">
        <v>53.55</v>
      </c>
      <c r="O132" s="321">
        <f t="shared" si="6"/>
        <v>0</v>
      </c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178"/>
      <c r="AT132" s="178"/>
      <c r="AU132" s="178"/>
      <c r="AV132" s="178"/>
      <c r="AW132" s="178"/>
      <c r="AX132" s="178"/>
      <c r="AY132" s="178"/>
      <c r="AZ132" s="178"/>
      <c r="BA132" s="178"/>
      <c r="BB132" s="178"/>
      <c r="BC132" s="178"/>
      <c r="BD132" s="178"/>
      <c r="BE132" s="178"/>
      <c r="BF132" s="178"/>
      <c r="BG132" s="178"/>
      <c r="BH132" s="178"/>
      <c r="BI132" s="178"/>
      <c r="BJ132" s="178"/>
      <c r="BK132" s="178"/>
      <c r="BL132" s="178"/>
      <c r="BM132" s="178"/>
      <c r="BN132" s="178"/>
      <c r="BO132" s="178"/>
      <c r="BP132" s="178"/>
      <c r="BQ132" s="178"/>
      <c r="BR132" s="178"/>
      <c r="BS132" s="178"/>
      <c r="BT132" s="178"/>
      <c r="BU132" s="178"/>
      <c r="BV132" s="178"/>
      <c r="BW132" s="178"/>
      <c r="BX132" s="178"/>
      <c r="BY132" s="178"/>
      <c r="BZ132" s="178"/>
      <c r="CA132" s="178"/>
      <c r="CB132" s="178"/>
      <c r="CC132" s="178"/>
      <c r="CD132" s="178"/>
      <c r="CE132" s="178"/>
      <c r="CF132" s="178"/>
      <c r="CG132" s="178"/>
      <c r="CH132" s="178"/>
      <c r="CI132" s="178"/>
      <c r="CJ132" s="178"/>
      <c r="CK132" s="178"/>
      <c r="CL132" s="178"/>
      <c r="CM132" s="178"/>
      <c r="CN132" s="178"/>
      <c r="CO132" s="178"/>
      <c r="CP132" s="178"/>
      <c r="CQ132" s="178"/>
      <c r="CR132" s="178"/>
      <c r="CS132" s="178"/>
      <c r="CT132" s="178"/>
      <c r="CU132" s="178"/>
      <c r="CV132" s="178"/>
      <c r="CW132" s="178"/>
      <c r="CX132" s="178"/>
      <c r="CY132" s="178"/>
    </row>
    <row r="133" spans="1:103" s="179" customFormat="1" ht="66.75" customHeight="1" hidden="1">
      <c r="A133" s="118"/>
      <c r="B133" s="114"/>
      <c r="C133" s="138" t="s">
        <v>333</v>
      </c>
      <c r="D133" s="111" t="s">
        <v>200</v>
      </c>
      <c r="E133" s="107">
        <v>82.81</v>
      </c>
      <c r="F133" s="100" t="str">
        <f>PR2_pozwolenie!F132</f>
        <v>x</v>
      </c>
      <c r="G133" s="205"/>
      <c r="H133" s="43"/>
      <c r="I133" s="43"/>
      <c r="J133" s="110"/>
      <c r="K133" s="121"/>
      <c r="L133" s="178"/>
      <c r="M133" s="178"/>
      <c r="N133" s="307"/>
      <c r="O133" s="321">
        <f t="shared" si="6"/>
        <v>0</v>
      </c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78"/>
      <c r="AT133" s="178"/>
      <c r="AU133" s="178"/>
      <c r="AV133" s="178"/>
      <c r="AW133" s="178"/>
      <c r="AX133" s="178"/>
      <c r="AY133" s="178"/>
      <c r="AZ133" s="178"/>
      <c r="BA133" s="178"/>
      <c r="BB133" s="178"/>
      <c r="BC133" s="178"/>
      <c r="BD133" s="178"/>
      <c r="BE133" s="178"/>
      <c r="BF133" s="178"/>
      <c r="BG133" s="178"/>
      <c r="BH133" s="178"/>
      <c r="BI133" s="178"/>
      <c r="BJ133" s="178"/>
      <c r="BK133" s="178"/>
      <c r="BL133" s="178"/>
      <c r="BM133" s="178"/>
      <c r="BN133" s="178"/>
      <c r="BO133" s="178"/>
      <c r="BP133" s="178"/>
      <c r="BQ133" s="178"/>
      <c r="BR133" s="178"/>
      <c r="BS133" s="178"/>
      <c r="BT133" s="178"/>
      <c r="BU133" s="178"/>
      <c r="BV133" s="178"/>
      <c r="BW133" s="178"/>
      <c r="BX133" s="178"/>
      <c r="BY133" s="178"/>
      <c r="BZ133" s="178"/>
      <c r="CA133" s="178"/>
      <c r="CB133" s="178"/>
      <c r="CC133" s="178"/>
      <c r="CD133" s="178"/>
      <c r="CE133" s="178"/>
      <c r="CF133" s="178"/>
      <c r="CG133" s="178"/>
      <c r="CH133" s="178"/>
      <c r="CI133" s="178"/>
      <c r="CJ133" s="178"/>
      <c r="CK133" s="178"/>
      <c r="CL133" s="178"/>
      <c r="CM133" s="178"/>
      <c r="CN133" s="178"/>
      <c r="CO133" s="178"/>
      <c r="CP133" s="178"/>
      <c r="CQ133" s="178"/>
      <c r="CR133" s="178"/>
      <c r="CS133" s="178"/>
      <c r="CT133" s="178"/>
      <c r="CU133" s="178"/>
      <c r="CV133" s="178"/>
      <c r="CW133" s="178"/>
      <c r="CX133" s="178"/>
      <c r="CY133" s="178"/>
    </row>
    <row r="134" spans="1:103" s="20" customFormat="1" ht="24.75" customHeight="1">
      <c r="A134" s="119">
        <v>40</v>
      </c>
      <c r="B134" s="112" t="s">
        <v>287</v>
      </c>
      <c r="C134" s="139" t="s">
        <v>276</v>
      </c>
      <c r="D134" s="109" t="s">
        <v>199</v>
      </c>
      <c r="E134" s="110" t="s">
        <v>34</v>
      </c>
      <c r="F134" s="100">
        <f>PR2_pozwolenie!F133</f>
        <v>197.75</v>
      </c>
      <c r="G134" s="204"/>
      <c r="H134" s="46"/>
      <c r="I134" s="46"/>
      <c r="J134" s="110"/>
      <c r="K134" s="121"/>
      <c r="L134" s="79"/>
      <c r="M134" s="213"/>
      <c r="N134" s="310">
        <v>34.92</v>
      </c>
      <c r="O134" s="321">
        <f t="shared" si="6"/>
        <v>0</v>
      </c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/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9"/>
      <c r="CQ134" s="79"/>
      <c r="CR134" s="79"/>
      <c r="CS134" s="79"/>
      <c r="CT134" s="79"/>
      <c r="CU134" s="79"/>
      <c r="CV134" s="79"/>
      <c r="CW134" s="79"/>
      <c r="CX134" s="79"/>
      <c r="CY134" s="79"/>
    </row>
    <row r="135" spans="1:103" s="20" customFormat="1" ht="40.5" customHeight="1" hidden="1">
      <c r="A135" s="118"/>
      <c r="B135" s="114"/>
      <c r="C135" s="138" t="s">
        <v>334</v>
      </c>
      <c r="D135" s="111" t="s">
        <v>200</v>
      </c>
      <c r="E135" s="107">
        <v>151.3</v>
      </c>
      <c r="F135" s="107" t="s">
        <v>34</v>
      </c>
      <c r="G135" s="204"/>
      <c r="H135" s="46"/>
      <c r="I135" s="46"/>
      <c r="J135" s="110"/>
      <c r="K135" s="159"/>
      <c r="L135" s="79"/>
      <c r="M135" s="79"/>
      <c r="N135" s="310"/>
      <c r="O135" s="321">
        <f t="shared" si="6"/>
        <v>0</v>
      </c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/>
      <c r="CA135" s="79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79"/>
      <c r="CY135" s="79"/>
    </row>
    <row r="136" spans="1:103" s="20" customFormat="1" ht="16.5" customHeight="1">
      <c r="A136" s="84" t="s">
        <v>34</v>
      </c>
      <c r="B136" s="85" t="s">
        <v>455</v>
      </c>
      <c r="C136" s="798" t="s">
        <v>456</v>
      </c>
      <c r="D136" s="799"/>
      <c r="E136" s="799"/>
      <c r="F136" s="799"/>
      <c r="G136" s="799"/>
      <c r="H136" s="799"/>
      <c r="I136" s="799"/>
      <c r="J136" s="799"/>
      <c r="K136" s="800"/>
      <c r="L136" s="79"/>
      <c r="M136" s="79"/>
      <c r="N136" s="310"/>
      <c r="O136" s="321">
        <f t="shared" si="6"/>
        <v>0</v>
      </c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/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 s="79"/>
    </row>
    <row r="137" spans="1:103" s="20" customFormat="1" ht="22.5" customHeight="1">
      <c r="A137" s="119">
        <v>41</v>
      </c>
      <c r="B137" s="112" t="s">
        <v>457</v>
      </c>
      <c r="C137" s="139" t="s">
        <v>458</v>
      </c>
      <c r="D137" s="109" t="s">
        <v>199</v>
      </c>
      <c r="E137" s="110" t="s">
        <v>34</v>
      </c>
      <c r="F137" s="110">
        <f>PR2_pozwolenie!F136</f>
        <v>44</v>
      </c>
      <c r="G137" s="326"/>
      <c r="H137" s="327"/>
      <c r="I137" s="327"/>
      <c r="J137" s="110"/>
      <c r="K137" s="159"/>
      <c r="L137" s="79"/>
      <c r="M137" s="79"/>
      <c r="N137" s="310">
        <v>55.86</v>
      </c>
      <c r="O137" s="321">
        <f t="shared" si="6"/>
        <v>0</v>
      </c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9"/>
      <c r="CQ137" s="79"/>
      <c r="CR137" s="79"/>
      <c r="CS137" s="79"/>
      <c r="CT137" s="79"/>
      <c r="CU137" s="79"/>
      <c r="CV137" s="79"/>
      <c r="CW137" s="79"/>
      <c r="CX137" s="79"/>
      <c r="CY137" s="79"/>
    </row>
    <row r="138" spans="1:103" s="20" customFormat="1" ht="22.5" customHeight="1">
      <c r="A138" s="84" t="s">
        <v>34</v>
      </c>
      <c r="B138" s="85" t="s">
        <v>459</v>
      </c>
      <c r="C138" s="798" t="s">
        <v>460</v>
      </c>
      <c r="D138" s="799"/>
      <c r="E138" s="799"/>
      <c r="F138" s="799"/>
      <c r="G138" s="799"/>
      <c r="H138" s="799"/>
      <c r="I138" s="799"/>
      <c r="J138" s="799"/>
      <c r="K138" s="800"/>
      <c r="L138" s="79"/>
      <c r="M138" s="79"/>
      <c r="N138" s="310"/>
      <c r="O138" s="321">
        <f t="shared" si="6"/>
        <v>0</v>
      </c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/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</row>
    <row r="139" spans="1:103" s="20" customFormat="1" ht="28.5" customHeight="1">
      <c r="A139" s="119">
        <v>42</v>
      </c>
      <c r="B139" s="112" t="s">
        <v>461</v>
      </c>
      <c r="C139" s="139" t="s">
        <v>462</v>
      </c>
      <c r="D139" s="109" t="s">
        <v>199</v>
      </c>
      <c r="E139" s="110" t="s">
        <v>34</v>
      </c>
      <c r="F139" s="110" t="e">
        <f>PR2_pozwolenie!#REF!</f>
        <v>#REF!</v>
      </c>
      <c r="G139" s="326"/>
      <c r="H139" s="327"/>
      <c r="I139" s="327"/>
      <c r="J139" s="328"/>
      <c r="K139" s="159"/>
      <c r="L139" s="79"/>
      <c r="M139" s="79"/>
      <c r="N139" s="310">
        <v>44.2</v>
      </c>
      <c r="O139" s="321">
        <f t="shared" si="6"/>
        <v>0</v>
      </c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79"/>
      <c r="CQ139" s="79"/>
      <c r="CR139" s="79"/>
      <c r="CS139" s="79"/>
      <c r="CT139" s="79"/>
      <c r="CU139" s="79"/>
      <c r="CV139" s="79"/>
      <c r="CW139" s="79"/>
      <c r="CX139" s="79"/>
      <c r="CY139" s="79"/>
    </row>
    <row r="140" spans="1:103" s="20" customFormat="1" ht="25.5" customHeight="1">
      <c r="A140" s="805" t="s">
        <v>440</v>
      </c>
      <c r="B140" s="806"/>
      <c r="C140" s="806"/>
      <c r="D140" s="806"/>
      <c r="E140" s="806"/>
      <c r="F140" s="806"/>
      <c r="G140" s="806"/>
      <c r="H140" s="806"/>
      <c r="I140" s="806"/>
      <c r="J140" s="807"/>
      <c r="K140" s="268"/>
      <c r="L140" s="79"/>
      <c r="M140" s="79"/>
      <c r="N140" s="310"/>
      <c r="O140" s="268">
        <f>O125+O128+O132+O130+O134+O137+O139</f>
        <v>0</v>
      </c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/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79"/>
      <c r="CQ140" s="79"/>
      <c r="CR140" s="79"/>
      <c r="CS140" s="79"/>
      <c r="CT140" s="79"/>
      <c r="CU140" s="79"/>
      <c r="CV140" s="79"/>
      <c r="CW140" s="79"/>
      <c r="CX140" s="79"/>
      <c r="CY140" s="79"/>
    </row>
    <row r="141" spans="1:103" s="51" customFormat="1" ht="25.5" customHeight="1">
      <c r="A141" s="28" t="s">
        <v>67</v>
      </c>
      <c r="B141" s="25" t="s">
        <v>64</v>
      </c>
      <c r="C141" s="795" t="s">
        <v>206</v>
      </c>
      <c r="D141" s="796"/>
      <c r="E141" s="796"/>
      <c r="F141" s="796"/>
      <c r="G141" s="796"/>
      <c r="H141" s="796"/>
      <c r="I141" s="796"/>
      <c r="J141" s="796"/>
      <c r="K141" s="797"/>
      <c r="L141" s="80"/>
      <c r="M141" s="80"/>
      <c r="N141" s="306"/>
      <c r="O141" s="317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</row>
    <row r="142" spans="1:15" s="8" customFormat="1" ht="19.5" customHeight="1">
      <c r="A142" s="84" t="s">
        <v>34</v>
      </c>
      <c r="B142" s="85" t="s">
        <v>23</v>
      </c>
      <c r="C142" s="798" t="s">
        <v>190</v>
      </c>
      <c r="D142" s="799"/>
      <c r="E142" s="799"/>
      <c r="F142" s="799"/>
      <c r="G142" s="799"/>
      <c r="H142" s="799"/>
      <c r="I142" s="799"/>
      <c r="J142" s="799"/>
      <c r="K142" s="800"/>
      <c r="N142" s="311"/>
      <c r="O142" s="322"/>
    </row>
    <row r="143" spans="1:15" s="11" customFormat="1" ht="15.75" customHeight="1">
      <c r="A143" s="119">
        <v>43</v>
      </c>
      <c r="B143" s="113" t="s">
        <v>0</v>
      </c>
      <c r="C143" s="139" t="s">
        <v>79</v>
      </c>
      <c r="D143" s="109" t="s">
        <v>199</v>
      </c>
      <c r="E143" s="110" t="s">
        <v>34</v>
      </c>
      <c r="F143" s="110">
        <f>PR2_pozwolenie!F140</f>
        <v>252</v>
      </c>
      <c r="G143" s="143"/>
      <c r="H143" s="801"/>
      <c r="I143" s="801"/>
      <c r="J143" s="124"/>
      <c r="K143" s="121"/>
      <c r="N143" s="314">
        <v>23.49</v>
      </c>
      <c r="O143" s="321">
        <f aca="true" t="shared" si="7" ref="O143:O149">J143*N143</f>
        <v>0</v>
      </c>
    </row>
    <row r="144" spans="1:15" s="8" customFormat="1" ht="52.5" customHeight="1" hidden="1">
      <c r="A144" s="119"/>
      <c r="B144" s="113"/>
      <c r="C144" s="138" t="s">
        <v>335</v>
      </c>
      <c r="D144" s="111" t="s">
        <v>200</v>
      </c>
      <c r="E144" s="107">
        <v>105.14</v>
      </c>
      <c r="F144" s="107" t="s">
        <v>34</v>
      </c>
      <c r="G144" s="144"/>
      <c r="H144" s="43">
        <v>14.94</v>
      </c>
      <c r="I144" s="43">
        <f>H144*F143</f>
        <v>3764.88</v>
      </c>
      <c r="J144" s="124"/>
      <c r="K144" s="122"/>
      <c r="N144" s="311"/>
      <c r="O144" s="321">
        <f t="shared" si="7"/>
        <v>0</v>
      </c>
    </row>
    <row r="145" spans="1:15" s="8" customFormat="1" ht="39" hidden="1">
      <c r="A145" s="118" t="s">
        <v>310</v>
      </c>
      <c r="B145" s="114" t="s">
        <v>0</v>
      </c>
      <c r="C145" s="138" t="s">
        <v>336</v>
      </c>
      <c r="D145" s="111" t="s">
        <v>200</v>
      </c>
      <c r="E145" s="107">
        <v>105.14</v>
      </c>
      <c r="F145" s="107">
        <f>E145</f>
        <v>105.14</v>
      </c>
      <c r="G145" s="144"/>
      <c r="H145" s="43"/>
      <c r="I145" s="43"/>
      <c r="J145" s="124"/>
      <c r="K145" s="122"/>
      <c r="N145" s="311"/>
      <c r="O145" s="321">
        <f t="shared" si="7"/>
        <v>0</v>
      </c>
    </row>
    <row r="146" spans="1:15" s="8" customFormat="1" ht="18.75" customHeight="1">
      <c r="A146" s="119">
        <v>44</v>
      </c>
      <c r="B146" s="112" t="s">
        <v>130</v>
      </c>
      <c r="C146" s="139" t="s">
        <v>191</v>
      </c>
      <c r="D146" s="109" t="s">
        <v>199</v>
      </c>
      <c r="E146" s="110" t="s">
        <v>34</v>
      </c>
      <c r="F146" s="110">
        <f>PR2_pozwolenie!F143</f>
        <v>0</v>
      </c>
      <c r="G146" s="144"/>
      <c r="H146" s="43"/>
      <c r="I146" s="43"/>
      <c r="J146" s="124"/>
      <c r="K146" s="121"/>
      <c r="N146" s="311">
        <v>7.4</v>
      </c>
      <c r="O146" s="321">
        <f t="shared" si="7"/>
        <v>0</v>
      </c>
    </row>
    <row r="147" spans="1:15" s="8" customFormat="1" ht="54" customHeight="1" hidden="1">
      <c r="A147" s="118"/>
      <c r="B147" s="114"/>
      <c r="C147" s="138" t="s">
        <v>337</v>
      </c>
      <c r="D147" s="111" t="s">
        <v>200</v>
      </c>
      <c r="E147" s="107">
        <v>14.8</v>
      </c>
      <c r="F147" s="107" t="s">
        <v>34</v>
      </c>
      <c r="G147" s="144"/>
      <c r="H147" s="43"/>
      <c r="I147" s="43"/>
      <c r="J147" s="211"/>
      <c r="K147" s="156"/>
      <c r="L147" s="129"/>
      <c r="N147" s="311"/>
      <c r="O147" s="321">
        <f t="shared" si="7"/>
        <v>0</v>
      </c>
    </row>
    <row r="148" spans="1:15" s="11" customFormat="1" ht="18" customHeight="1">
      <c r="A148" s="84" t="s">
        <v>34</v>
      </c>
      <c r="B148" s="85" t="s">
        <v>219</v>
      </c>
      <c r="C148" s="798" t="s">
        <v>220</v>
      </c>
      <c r="D148" s="799"/>
      <c r="E148" s="799"/>
      <c r="F148" s="799"/>
      <c r="G148" s="799"/>
      <c r="H148" s="799"/>
      <c r="I148" s="799"/>
      <c r="J148" s="799"/>
      <c r="K148" s="800"/>
      <c r="N148" s="314"/>
      <c r="O148" s="321">
        <f t="shared" si="7"/>
        <v>0</v>
      </c>
    </row>
    <row r="149" spans="1:15" s="11" customFormat="1" ht="18.75" customHeight="1">
      <c r="A149" s="119">
        <v>45</v>
      </c>
      <c r="B149" s="113" t="s">
        <v>221</v>
      </c>
      <c r="C149" s="139" t="s">
        <v>222</v>
      </c>
      <c r="D149" s="109" t="s">
        <v>11</v>
      </c>
      <c r="E149" s="110" t="s">
        <v>34</v>
      </c>
      <c r="F149" s="110" t="e">
        <f>PR2_pozwolenie!#REF!</f>
        <v>#REF!</v>
      </c>
      <c r="G149" s="145"/>
      <c r="H149" s="45"/>
      <c r="I149" s="45"/>
      <c r="J149" s="110"/>
      <c r="K149" s="121"/>
      <c r="M149" s="125"/>
      <c r="N149" s="314">
        <v>13</v>
      </c>
      <c r="O149" s="321">
        <f t="shared" si="7"/>
        <v>0</v>
      </c>
    </row>
    <row r="150" spans="1:15" s="11" customFormat="1" ht="69" customHeight="1" hidden="1">
      <c r="A150" s="119"/>
      <c r="B150" s="113"/>
      <c r="C150" s="138" t="s">
        <v>277</v>
      </c>
      <c r="D150" s="111" t="s">
        <v>11</v>
      </c>
      <c r="E150" s="107">
        <v>23</v>
      </c>
      <c r="F150" s="107" t="s">
        <v>34</v>
      </c>
      <c r="G150" s="145"/>
      <c r="H150" s="45"/>
      <c r="I150" s="45"/>
      <c r="J150" s="110"/>
      <c r="K150" s="122"/>
      <c r="N150" s="314"/>
      <c r="O150" s="325"/>
    </row>
    <row r="151" spans="1:15" s="11" customFormat="1" ht="25.5" customHeight="1">
      <c r="A151" s="805" t="s">
        <v>441</v>
      </c>
      <c r="B151" s="806"/>
      <c r="C151" s="806"/>
      <c r="D151" s="806"/>
      <c r="E151" s="806"/>
      <c r="F151" s="806"/>
      <c r="G151" s="806"/>
      <c r="H151" s="806"/>
      <c r="I151" s="806"/>
      <c r="J151" s="807"/>
      <c r="K151" s="267"/>
      <c r="N151" s="314"/>
      <c r="O151" s="267">
        <f>O143+O146+O149</f>
        <v>0</v>
      </c>
    </row>
    <row r="152" spans="1:15" s="11" customFormat="1" ht="25.5" customHeight="1">
      <c r="A152" s="28" t="s">
        <v>101</v>
      </c>
      <c r="B152" s="25" t="s">
        <v>66</v>
      </c>
      <c r="C152" s="795" t="s">
        <v>207</v>
      </c>
      <c r="D152" s="796"/>
      <c r="E152" s="796"/>
      <c r="F152" s="796"/>
      <c r="G152" s="796"/>
      <c r="H152" s="796"/>
      <c r="I152" s="796"/>
      <c r="J152" s="796"/>
      <c r="K152" s="797"/>
      <c r="N152" s="314"/>
      <c r="O152" s="325"/>
    </row>
    <row r="153" spans="1:15" s="11" customFormat="1" ht="18" customHeight="1">
      <c r="A153" s="84" t="s">
        <v>34</v>
      </c>
      <c r="B153" s="85" t="s">
        <v>132</v>
      </c>
      <c r="C153" s="798" t="s">
        <v>131</v>
      </c>
      <c r="D153" s="799"/>
      <c r="E153" s="799"/>
      <c r="F153" s="799"/>
      <c r="G153" s="799"/>
      <c r="H153" s="799"/>
      <c r="I153" s="799"/>
      <c r="J153" s="799"/>
      <c r="K153" s="800"/>
      <c r="N153" s="314"/>
      <c r="O153" s="325"/>
    </row>
    <row r="154" spans="1:15" s="11" customFormat="1" ht="18" customHeight="1">
      <c r="A154" s="119">
        <v>46</v>
      </c>
      <c r="B154" s="112" t="s">
        <v>133</v>
      </c>
      <c r="C154" s="139" t="s">
        <v>192</v>
      </c>
      <c r="D154" s="109" t="s">
        <v>9</v>
      </c>
      <c r="E154" s="110" t="s">
        <v>34</v>
      </c>
      <c r="F154" s="110">
        <f>PR2_pozwolenie!F169</f>
        <v>3</v>
      </c>
      <c r="G154" s="145"/>
      <c r="H154" s="45"/>
      <c r="I154" s="45"/>
      <c r="J154" s="110"/>
      <c r="K154" s="121"/>
      <c r="N154" s="314">
        <v>0</v>
      </c>
      <c r="O154" s="321">
        <f aca="true" t="shared" si="8" ref="O154:O159">J154*N154</f>
        <v>0</v>
      </c>
    </row>
    <row r="155" spans="1:15" s="11" customFormat="1" ht="40.5" customHeight="1" hidden="1">
      <c r="A155" s="118"/>
      <c r="B155" s="114"/>
      <c r="C155" s="138" t="s">
        <v>278</v>
      </c>
      <c r="D155" s="111" t="s">
        <v>9</v>
      </c>
      <c r="E155" s="107">
        <v>2</v>
      </c>
      <c r="F155" s="110" t="str">
        <f>PR2_pozwolenie!F170</f>
        <v>x</v>
      </c>
      <c r="G155" s="145"/>
      <c r="H155" s="45"/>
      <c r="I155" s="45"/>
      <c r="J155" s="110"/>
      <c r="K155" s="121"/>
      <c r="N155" s="314"/>
      <c r="O155" s="321">
        <f t="shared" si="8"/>
        <v>0</v>
      </c>
    </row>
    <row r="156" spans="1:15" s="11" customFormat="1" ht="18" customHeight="1">
      <c r="A156" s="119">
        <v>47</v>
      </c>
      <c r="B156" s="112" t="s">
        <v>193</v>
      </c>
      <c r="C156" s="139" t="s">
        <v>279</v>
      </c>
      <c r="D156" s="109" t="s">
        <v>9</v>
      </c>
      <c r="E156" s="110" t="s">
        <v>34</v>
      </c>
      <c r="F156" s="110">
        <f>PR2_pozwolenie!F171</f>
        <v>5</v>
      </c>
      <c r="G156" s="145"/>
      <c r="H156" s="45"/>
      <c r="I156" s="45"/>
      <c r="J156" s="110"/>
      <c r="K156" s="121"/>
      <c r="N156" s="314">
        <v>0</v>
      </c>
      <c r="O156" s="321">
        <f t="shared" si="8"/>
        <v>0</v>
      </c>
    </row>
    <row r="157" spans="1:15" s="11" customFormat="1" ht="42.75" customHeight="1" hidden="1">
      <c r="A157" s="119"/>
      <c r="B157" s="114"/>
      <c r="C157" s="138" t="s">
        <v>280</v>
      </c>
      <c r="D157" s="111" t="s">
        <v>9</v>
      </c>
      <c r="E157" s="107">
        <v>2</v>
      </c>
      <c r="F157" s="110" t="s">
        <v>34</v>
      </c>
      <c r="G157" s="145"/>
      <c r="H157" s="45"/>
      <c r="I157" s="45"/>
      <c r="J157" s="110"/>
      <c r="K157" s="122"/>
      <c r="N157" s="314"/>
      <c r="O157" s="321">
        <f t="shared" si="8"/>
        <v>0</v>
      </c>
    </row>
    <row r="158" spans="1:15" s="11" customFormat="1" ht="18" customHeight="1">
      <c r="A158" s="84" t="s">
        <v>34</v>
      </c>
      <c r="B158" s="85" t="s">
        <v>194</v>
      </c>
      <c r="C158" s="798" t="s">
        <v>195</v>
      </c>
      <c r="D158" s="799"/>
      <c r="E158" s="799"/>
      <c r="F158" s="799"/>
      <c r="G158" s="799"/>
      <c r="H158" s="799"/>
      <c r="I158" s="799"/>
      <c r="J158" s="799"/>
      <c r="K158" s="800"/>
      <c r="N158" s="314"/>
      <c r="O158" s="321">
        <f t="shared" si="8"/>
        <v>0</v>
      </c>
    </row>
    <row r="159" spans="1:15" s="11" customFormat="1" ht="18.75" customHeight="1">
      <c r="A159" s="119">
        <v>48</v>
      </c>
      <c r="B159" s="112" t="s">
        <v>196</v>
      </c>
      <c r="C159" s="139" t="s">
        <v>281</v>
      </c>
      <c r="D159" s="109" t="s">
        <v>11</v>
      </c>
      <c r="E159" s="110" t="s">
        <v>34</v>
      </c>
      <c r="F159" s="110">
        <f>PR2_pozwolenie!F174</f>
        <v>0</v>
      </c>
      <c r="G159" s="145"/>
      <c r="H159" s="45"/>
      <c r="I159" s="45"/>
      <c r="J159" s="110"/>
      <c r="K159" s="121"/>
      <c r="M159" s="126"/>
      <c r="N159" s="314">
        <v>7</v>
      </c>
      <c r="O159" s="321">
        <f t="shared" si="8"/>
        <v>0</v>
      </c>
    </row>
    <row r="160" spans="1:15" s="11" customFormat="1" ht="40.5" customHeight="1" hidden="1">
      <c r="A160" s="119"/>
      <c r="B160" s="114"/>
      <c r="C160" s="138" t="s">
        <v>282</v>
      </c>
      <c r="D160" s="111" t="s">
        <v>11</v>
      </c>
      <c r="E160" s="107">
        <f>36</f>
        <v>36</v>
      </c>
      <c r="F160" s="110" t="s">
        <v>34</v>
      </c>
      <c r="G160" s="145"/>
      <c r="H160" s="45"/>
      <c r="I160" s="45"/>
      <c r="J160" s="110"/>
      <c r="K160" s="122"/>
      <c r="N160" s="314"/>
      <c r="O160" s="325"/>
    </row>
    <row r="161" spans="1:15" s="11" customFormat="1" ht="25.5" customHeight="1">
      <c r="A161" s="805" t="s">
        <v>442</v>
      </c>
      <c r="B161" s="806"/>
      <c r="C161" s="806"/>
      <c r="D161" s="806"/>
      <c r="E161" s="806"/>
      <c r="F161" s="806"/>
      <c r="G161" s="806"/>
      <c r="H161" s="806"/>
      <c r="I161" s="806"/>
      <c r="J161" s="807"/>
      <c r="K161" s="267"/>
      <c r="N161" s="314"/>
      <c r="O161" s="267">
        <f>O154+O156+O159</f>
        <v>0</v>
      </c>
    </row>
    <row r="162" spans="1:15" s="11" customFormat="1" ht="30" customHeight="1">
      <c r="A162" s="28" t="s">
        <v>33</v>
      </c>
      <c r="B162" s="25" t="s">
        <v>68</v>
      </c>
      <c r="C162" s="795" t="s">
        <v>208</v>
      </c>
      <c r="D162" s="796"/>
      <c r="E162" s="796"/>
      <c r="F162" s="796"/>
      <c r="G162" s="796"/>
      <c r="H162" s="796"/>
      <c r="I162" s="796"/>
      <c r="J162" s="796"/>
      <c r="K162" s="797"/>
      <c r="N162" s="314"/>
      <c r="O162" s="325"/>
    </row>
    <row r="163" spans="1:15" s="11" customFormat="1" ht="18" customHeight="1">
      <c r="A163" s="84" t="s">
        <v>34</v>
      </c>
      <c r="B163" s="85" t="s">
        <v>24</v>
      </c>
      <c r="C163" s="798" t="s">
        <v>25</v>
      </c>
      <c r="D163" s="799"/>
      <c r="E163" s="799"/>
      <c r="F163" s="799"/>
      <c r="G163" s="799"/>
      <c r="H163" s="799"/>
      <c r="I163" s="799"/>
      <c r="J163" s="799"/>
      <c r="K163" s="800"/>
      <c r="N163" s="314"/>
      <c r="O163" s="325"/>
    </row>
    <row r="164" spans="1:15" s="11" customFormat="1" ht="29.25" customHeight="1">
      <c r="A164" s="119">
        <v>49</v>
      </c>
      <c r="B164" s="113" t="s">
        <v>283</v>
      </c>
      <c r="C164" s="142" t="s">
        <v>284</v>
      </c>
      <c r="D164" s="109" t="s">
        <v>11</v>
      </c>
      <c r="E164" s="110" t="s">
        <v>34</v>
      </c>
      <c r="F164" s="110">
        <f>PR2_pozwolenie!F198</f>
        <v>98</v>
      </c>
      <c r="G164" s="145"/>
      <c r="H164" s="45"/>
      <c r="I164" s="45"/>
      <c r="J164" s="110"/>
      <c r="K164" s="121"/>
      <c r="N164" s="314">
        <v>37.05</v>
      </c>
      <c r="O164" s="321">
        <f aca="true" t="shared" si="9" ref="O164:O172">J164*N164</f>
        <v>0</v>
      </c>
    </row>
    <row r="165" spans="1:15" s="11" customFormat="1" ht="54.75" customHeight="1" hidden="1">
      <c r="A165" s="119"/>
      <c r="B165" s="114"/>
      <c r="C165" s="138" t="s">
        <v>338</v>
      </c>
      <c r="D165" s="111" t="s">
        <v>11</v>
      </c>
      <c r="E165" s="107">
        <v>181.25</v>
      </c>
      <c r="F165" s="110" t="s">
        <v>34</v>
      </c>
      <c r="G165" s="145"/>
      <c r="H165" s="45"/>
      <c r="I165" s="45"/>
      <c r="J165" s="110"/>
      <c r="K165" s="122"/>
      <c r="N165" s="314"/>
      <c r="O165" s="321">
        <f t="shared" si="9"/>
        <v>0</v>
      </c>
    </row>
    <row r="166" spans="1:15" s="8" customFormat="1" ht="18" customHeight="1">
      <c r="A166" s="84" t="s">
        <v>34</v>
      </c>
      <c r="B166" s="85" t="s">
        <v>26</v>
      </c>
      <c r="C166" s="798" t="s">
        <v>27</v>
      </c>
      <c r="D166" s="799"/>
      <c r="E166" s="799"/>
      <c r="F166" s="799"/>
      <c r="G166" s="799"/>
      <c r="H166" s="799"/>
      <c r="I166" s="799"/>
      <c r="J166" s="799"/>
      <c r="K166" s="800"/>
      <c r="N166" s="311"/>
      <c r="O166" s="321">
        <f t="shared" si="9"/>
        <v>0</v>
      </c>
    </row>
    <row r="167" spans="1:15" s="8" customFormat="1" ht="18" customHeight="1">
      <c r="A167" s="119">
        <v>50</v>
      </c>
      <c r="B167" s="113" t="s">
        <v>99</v>
      </c>
      <c r="C167" s="139" t="s">
        <v>100</v>
      </c>
      <c r="D167" s="109" t="s">
        <v>199</v>
      </c>
      <c r="E167" s="110" t="s">
        <v>34</v>
      </c>
      <c r="F167" s="110">
        <f>PR2_pozwolenie!F201</f>
        <v>146.5</v>
      </c>
      <c r="G167" s="144"/>
      <c r="H167" s="45"/>
      <c r="I167" s="45"/>
      <c r="J167" s="110"/>
      <c r="K167" s="121"/>
      <c r="L167" s="48"/>
      <c r="M167" s="48"/>
      <c r="N167" s="311">
        <v>38.14</v>
      </c>
      <c r="O167" s="321">
        <f t="shared" si="9"/>
        <v>0</v>
      </c>
    </row>
    <row r="168" spans="1:15" s="13" customFormat="1" ht="69" customHeight="1" hidden="1">
      <c r="A168" s="119" t="s">
        <v>8</v>
      </c>
      <c r="B168" s="115"/>
      <c r="C168" s="138" t="s">
        <v>339</v>
      </c>
      <c r="D168" s="111" t="s">
        <v>200</v>
      </c>
      <c r="E168" s="107">
        <v>284.1</v>
      </c>
      <c r="F168" s="110" t="str">
        <f>PR2_pozwolenie!F202</f>
        <v>x</v>
      </c>
      <c r="G168" s="146"/>
      <c r="H168" s="43">
        <v>72.3</v>
      </c>
      <c r="I168" s="43" t="e">
        <f>H168*#REF!</f>
        <v>#REF!</v>
      </c>
      <c r="J168" s="110"/>
      <c r="K168" s="122"/>
      <c r="N168" s="315"/>
      <c r="O168" s="321">
        <f t="shared" si="9"/>
        <v>0</v>
      </c>
    </row>
    <row r="169" spans="1:15" s="8" customFormat="1" ht="19.5" customHeight="1">
      <c r="A169" s="119">
        <v>51</v>
      </c>
      <c r="B169" s="113" t="s">
        <v>1</v>
      </c>
      <c r="C169" s="139" t="s">
        <v>285</v>
      </c>
      <c r="D169" s="109" t="s">
        <v>199</v>
      </c>
      <c r="E169" s="110" t="s">
        <v>34</v>
      </c>
      <c r="F169" s="110">
        <f>PR2_pozwolenie!F203</f>
        <v>25</v>
      </c>
      <c r="G169" s="144"/>
      <c r="H169" s="45"/>
      <c r="I169" s="45"/>
      <c r="J169" s="110"/>
      <c r="K169" s="121"/>
      <c r="N169" s="311">
        <v>0</v>
      </c>
      <c r="O169" s="321">
        <f t="shared" si="9"/>
        <v>0</v>
      </c>
    </row>
    <row r="170" spans="1:15" s="8" customFormat="1" ht="59.25" customHeight="1" hidden="1">
      <c r="A170" s="119" t="s">
        <v>8</v>
      </c>
      <c r="B170" s="115"/>
      <c r="C170" s="138" t="s">
        <v>340</v>
      </c>
      <c r="D170" s="111" t="s">
        <v>200</v>
      </c>
      <c r="E170" s="107">
        <v>7.74</v>
      </c>
      <c r="F170" s="110" t="s">
        <v>34</v>
      </c>
      <c r="G170" s="144"/>
      <c r="H170" s="801"/>
      <c r="I170" s="801"/>
      <c r="J170" s="110"/>
      <c r="K170" s="209"/>
      <c r="N170" s="311"/>
      <c r="O170" s="321">
        <f t="shared" si="9"/>
        <v>0</v>
      </c>
    </row>
    <row r="171" spans="1:15" s="8" customFormat="1" ht="18" customHeight="1">
      <c r="A171" s="84" t="s">
        <v>34</v>
      </c>
      <c r="B171" s="85" t="s">
        <v>28</v>
      </c>
      <c r="C171" s="798" t="s">
        <v>29</v>
      </c>
      <c r="D171" s="799"/>
      <c r="E171" s="799"/>
      <c r="F171" s="799"/>
      <c r="G171" s="799"/>
      <c r="H171" s="799"/>
      <c r="I171" s="799"/>
      <c r="J171" s="799"/>
      <c r="K171" s="800"/>
      <c r="N171" s="311"/>
      <c r="O171" s="321">
        <f t="shared" si="9"/>
        <v>0</v>
      </c>
    </row>
    <row r="172" spans="1:15" s="8" customFormat="1" ht="17.25" customHeight="1">
      <c r="A172" s="119">
        <v>52</v>
      </c>
      <c r="B172" s="113" t="s">
        <v>2</v>
      </c>
      <c r="C172" s="139" t="s">
        <v>134</v>
      </c>
      <c r="D172" s="109" t="s">
        <v>11</v>
      </c>
      <c r="E172" s="110" t="s">
        <v>34</v>
      </c>
      <c r="F172" s="110">
        <f>PR2_pozwolenie!F206</f>
        <v>108.4</v>
      </c>
      <c r="G172" s="144"/>
      <c r="H172" s="283"/>
      <c r="I172" s="283"/>
      <c r="J172" s="110"/>
      <c r="K172" s="121"/>
      <c r="M172" s="125"/>
      <c r="N172" s="311">
        <v>22.75</v>
      </c>
      <c r="O172" s="321">
        <f t="shared" si="9"/>
        <v>0</v>
      </c>
    </row>
    <row r="173" spans="1:15" s="11" customFormat="1" ht="96" customHeight="1" hidden="1" thickBot="1">
      <c r="A173" s="188" t="s">
        <v>8</v>
      </c>
      <c r="B173" s="189"/>
      <c r="C173" s="190" t="s">
        <v>341</v>
      </c>
      <c r="D173" s="191" t="s">
        <v>11</v>
      </c>
      <c r="E173" s="192">
        <v>173.06</v>
      </c>
      <c r="F173" s="193" t="s">
        <v>34</v>
      </c>
      <c r="G173" s="10"/>
      <c r="H173" s="194">
        <v>78.42</v>
      </c>
      <c r="I173" s="194">
        <f>H173*F169</f>
        <v>1960.5</v>
      </c>
      <c r="J173" s="212"/>
      <c r="K173" s="269"/>
      <c r="N173" s="314"/>
      <c r="O173" s="325"/>
    </row>
    <row r="174" spans="1:15" s="11" customFormat="1" ht="25.5" customHeight="1" thickBot="1">
      <c r="A174" s="802" t="s">
        <v>443</v>
      </c>
      <c r="B174" s="803"/>
      <c r="C174" s="803"/>
      <c r="D174" s="803"/>
      <c r="E174" s="803"/>
      <c r="F174" s="803"/>
      <c r="G174" s="803"/>
      <c r="H174" s="803"/>
      <c r="I174" s="803"/>
      <c r="J174" s="804"/>
      <c r="K174" s="267"/>
      <c r="N174" s="314"/>
      <c r="O174" s="267">
        <f>O164+O167+O169+O172</f>
        <v>0</v>
      </c>
    </row>
    <row r="175" spans="1:15" ht="25.5" customHeight="1">
      <c r="A175" s="808" t="s">
        <v>216</v>
      </c>
      <c r="B175" s="809"/>
      <c r="C175" s="809"/>
      <c r="D175" s="809"/>
      <c r="E175" s="809"/>
      <c r="F175" s="809"/>
      <c r="G175" s="809"/>
      <c r="H175" s="809"/>
      <c r="I175" s="809"/>
      <c r="J175" s="810"/>
      <c r="K175" s="260"/>
      <c r="O175" s="260">
        <f>O14+O54+O64+O91+O122+O140+O151+O161+O174</f>
        <v>0</v>
      </c>
    </row>
    <row r="176" spans="1:15" ht="25.5" customHeight="1">
      <c r="A176" s="811" t="s">
        <v>217</v>
      </c>
      <c r="B176" s="812"/>
      <c r="C176" s="812"/>
      <c r="D176" s="812"/>
      <c r="E176" s="812"/>
      <c r="F176" s="812"/>
      <c r="G176" s="812"/>
      <c r="H176" s="812"/>
      <c r="I176" s="812"/>
      <c r="J176" s="813"/>
      <c r="K176" s="261"/>
      <c r="O176" s="261">
        <f>O177-O175</f>
        <v>0</v>
      </c>
    </row>
    <row r="177" spans="1:15" ht="25.5" customHeight="1" thickBot="1">
      <c r="A177" s="792" t="s">
        <v>218</v>
      </c>
      <c r="B177" s="793"/>
      <c r="C177" s="793"/>
      <c r="D177" s="793"/>
      <c r="E177" s="793"/>
      <c r="F177" s="793"/>
      <c r="G177" s="793"/>
      <c r="H177" s="793"/>
      <c r="I177" s="793"/>
      <c r="J177" s="794"/>
      <c r="K177" s="262"/>
      <c r="O177" s="262">
        <f>O175*1.23</f>
        <v>0</v>
      </c>
    </row>
    <row r="178" spans="6:10" ht="12.75">
      <c r="F178" s="155"/>
      <c r="G178" s="154"/>
      <c r="H178" s="154"/>
      <c r="I178" s="154"/>
      <c r="J178" s="155"/>
    </row>
    <row r="179" spans="6:10" ht="12.75">
      <c r="F179" s="155"/>
      <c r="G179" s="154"/>
      <c r="H179" s="154"/>
      <c r="I179" s="154"/>
      <c r="J179" s="155"/>
    </row>
    <row r="180" spans="6:10" ht="12.75">
      <c r="F180" s="155"/>
      <c r="G180" s="154"/>
      <c r="H180" s="154"/>
      <c r="I180" s="154"/>
      <c r="J180" s="155"/>
    </row>
    <row r="181" spans="6:10" ht="12.75">
      <c r="F181" s="155"/>
      <c r="G181" s="154"/>
      <c r="H181" s="154"/>
      <c r="I181" s="154"/>
      <c r="J181" s="155"/>
    </row>
    <row r="182" spans="6:10" ht="12.75">
      <c r="F182" s="155"/>
      <c r="G182" s="154"/>
      <c r="H182" s="154"/>
      <c r="I182" s="154"/>
      <c r="J182" s="155"/>
    </row>
    <row r="183" spans="6:10" ht="12.75">
      <c r="F183" s="155"/>
      <c r="G183" s="154"/>
      <c r="H183" s="154"/>
      <c r="I183" s="154"/>
      <c r="J183" s="155"/>
    </row>
    <row r="184" spans="6:10" ht="12.75">
      <c r="F184" s="155"/>
      <c r="G184" s="154"/>
      <c r="H184" s="154"/>
      <c r="I184" s="154"/>
      <c r="J184" s="155"/>
    </row>
    <row r="185" spans="6:10" ht="12.75">
      <c r="F185" s="155"/>
      <c r="G185" s="154"/>
      <c r="H185" s="154"/>
      <c r="I185" s="154"/>
      <c r="J185" s="155"/>
    </row>
    <row r="186" spans="6:10" ht="12.75">
      <c r="F186" s="155"/>
      <c r="G186" s="154"/>
      <c r="H186" s="154"/>
      <c r="I186" s="154"/>
      <c r="J186" s="155"/>
    </row>
    <row r="187" spans="6:10" ht="12.75">
      <c r="F187" s="155"/>
      <c r="G187" s="154"/>
      <c r="H187" s="154"/>
      <c r="I187" s="154"/>
      <c r="J187" s="155"/>
    </row>
    <row r="188" spans="6:10" ht="12.75">
      <c r="F188" s="155"/>
      <c r="G188" s="154"/>
      <c r="H188" s="154"/>
      <c r="I188" s="154"/>
      <c r="J188" s="155"/>
    </row>
    <row r="189" spans="6:10" ht="12.75">
      <c r="F189" s="155"/>
      <c r="G189" s="154"/>
      <c r="H189" s="154"/>
      <c r="I189" s="154"/>
      <c r="J189" s="155"/>
    </row>
    <row r="190" spans="6:10" ht="12.75">
      <c r="F190" s="155"/>
      <c r="G190" s="154"/>
      <c r="H190" s="154"/>
      <c r="I190" s="154"/>
      <c r="J190" s="155"/>
    </row>
    <row r="191" spans="6:10" ht="12.75">
      <c r="F191" s="155"/>
      <c r="G191" s="154"/>
      <c r="H191" s="154"/>
      <c r="I191" s="154"/>
      <c r="J191" s="155"/>
    </row>
    <row r="192" spans="6:10" ht="12.75">
      <c r="F192" s="155"/>
      <c r="G192" s="154"/>
      <c r="H192" s="154"/>
      <c r="I192" s="154"/>
      <c r="J192" s="155"/>
    </row>
    <row r="193" spans="6:10" ht="12.75">
      <c r="F193" s="155"/>
      <c r="G193" s="154"/>
      <c r="H193" s="154"/>
      <c r="I193" s="154"/>
      <c r="J193" s="155"/>
    </row>
    <row r="194" spans="6:10" ht="12.75">
      <c r="F194" s="155"/>
      <c r="G194" s="154"/>
      <c r="H194" s="154"/>
      <c r="I194" s="154"/>
      <c r="J194" s="155"/>
    </row>
    <row r="195" spans="6:10" ht="12.75">
      <c r="F195" s="155"/>
      <c r="G195" s="154"/>
      <c r="H195" s="154"/>
      <c r="I195" s="154"/>
      <c r="J195" s="155"/>
    </row>
    <row r="196" spans="6:10" ht="12.75">
      <c r="F196" s="155"/>
      <c r="G196" s="154"/>
      <c r="H196" s="154"/>
      <c r="I196" s="154"/>
      <c r="J196" s="155"/>
    </row>
    <row r="197" spans="6:10" ht="12.75">
      <c r="F197" s="155"/>
      <c r="G197" s="154"/>
      <c r="H197" s="154"/>
      <c r="I197" s="154"/>
      <c r="J197" s="155"/>
    </row>
    <row r="198" spans="6:10" ht="12.75">
      <c r="F198" s="155"/>
      <c r="G198" s="154"/>
      <c r="H198" s="154"/>
      <c r="I198" s="154"/>
      <c r="J198" s="155"/>
    </row>
    <row r="199" spans="6:10" ht="12.75">
      <c r="F199" s="155"/>
      <c r="G199" s="154"/>
      <c r="H199" s="154"/>
      <c r="I199" s="154"/>
      <c r="J199" s="155"/>
    </row>
    <row r="293" ht="12.75"/>
    <row r="294" ht="12.75"/>
    <row r="295" ht="12.75"/>
  </sheetData>
  <sheetProtection/>
  <mergeCells count="57">
    <mergeCell ref="A1:K1"/>
    <mergeCell ref="A2:K2"/>
    <mergeCell ref="B4:K4"/>
    <mergeCell ref="C5:K5"/>
    <mergeCell ref="C6:K6"/>
    <mergeCell ref="A14:J14"/>
    <mergeCell ref="B15:K15"/>
    <mergeCell ref="C16:K16"/>
    <mergeCell ref="C17:K17"/>
    <mergeCell ref="C20:K20"/>
    <mergeCell ref="C25:K25"/>
    <mergeCell ref="A54:J54"/>
    <mergeCell ref="C55:K55"/>
    <mergeCell ref="C56:K56"/>
    <mergeCell ref="C61:K61"/>
    <mergeCell ref="A64:J64"/>
    <mergeCell ref="C65:K65"/>
    <mergeCell ref="C66:K66"/>
    <mergeCell ref="C73:K73"/>
    <mergeCell ref="C76:K76"/>
    <mergeCell ref="A91:J91"/>
    <mergeCell ref="C92:K92"/>
    <mergeCell ref="C93:K93"/>
    <mergeCell ref="C96:K96"/>
    <mergeCell ref="C99:K99"/>
    <mergeCell ref="H102:I102"/>
    <mergeCell ref="C108:K108"/>
    <mergeCell ref="H109:I109"/>
    <mergeCell ref="C113:K113"/>
    <mergeCell ref="C116:K116"/>
    <mergeCell ref="C119:K119"/>
    <mergeCell ref="A122:J122"/>
    <mergeCell ref="C123:K123"/>
    <mergeCell ref="C124:K124"/>
    <mergeCell ref="C127:K127"/>
    <mergeCell ref="H130:I130"/>
    <mergeCell ref="C136:K136"/>
    <mergeCell ref="C138:K138"/>
    <mergeCell ref="A140:J140"/>
    <mergeCell ref="C141:K141"/>
    <mergeCell ref="C142:K142"/>
    <mergeCell ref="H143:I143"/>
    <mergeCell ref="C148:K148"/>
    <mergeCell ref="A151:J151"/>
    <mergeCell ref="C152:K152"/>
    <mergeCell ref="C153:K153"/>
    <mergeCell ref="C158:K158"/>
    <mergeCell ref="A161:J161"/>
    <mergeCell ref="A175:J175"/>
    <mergeCell ref="A176:J176"/>
    <mergeCell ref="A177:J177"/>
    <mergeCell ref="C162:K162"/>
    <mergeCell ref="C163:K163"/>
    <mergeCell ref="C166:K166"/>
    <mergeCell ref="H170:I170"/>
    <mergeCell ref="C171:K171"/>
    <mergeCell ref="A174:J174"/>
  </mergeCells>
  <printOptions gridLines="1" horizontalCentered="1"/>
  <pageMargins left="0.4724409448818898" right="0.2755905511811024" top="0.3937007874015748" bottom="0.31496062992125984" header="0.2362204724409449" footer="0.15748031496062992"/>
  <pageSetup fitToHeight="0" fitToWidth="1" horizontalDpi="600" verticalDpi="600" orientation="portrait" paperSize="9" scale="71" r:id="rId3"/>
  <rowBreaks count="1" manualBreakCount="1">
    <brk id="76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Y79"/>
  <sheetViews>
    <sheetView view="pageBreakPreview" zoomScaleSheetLayoutView="100" zoomScalePageLayoutView="0" workbookViewId="0" topLeftCell="A1">
      <selection activeCell="B5" sqref="B5:I5"/>
    </sheetView>
  </sheetViews>
  <sheetFormatPr defaultColWidth="9.00390625" defaultRowHeight="12.75"/>
  <cols>
    <col min="1" max="1" width="15.875" style="0" customWidth="1"/>
    <col min="4" max="4" width="16.875" style="0" customWidth="1"/>
    <col min="8" max="8" width="11.125" style="0" customWidth="1"/>
    <col min="9" max="9" width="18.125" style="0" customWidth="1"/>
    <col min="15" max="15" width="10.125" style="0" bestFit="1" customWidth="1"/>
  </cols>
  <sheetData>
    <row r="1" spans="1:9" ht="12.75">
      <c r="A1" s="29"/>
      <c r="B1" s="30"/>
      <c r="C1" s="31"/>
      <c r="D1" s="29"/>
      <c r="E1" s="32"/>
      <c r="F1" s="29"/>
      <c r="G1" s="33"/>
      <c r="H1" s="33"/>
      <c r="I1" s="33"/>
    </row>
    <row r="2" spans="1:9" ht="12.75">
      <c r="A2" s="29"/>
      <c r="B2" s="30"/>
      <c r="C2" s="31"/>
      <c r="D2" s="29"/>
      <c r="E2" s="32"/>
      <c r="F2" s="29"/>
      <c r="G2" s="33"/>
      <c r="H2" s="33"/>
      <c r="I2" s="33"/>
    </row>
    <row r="3" spans="1:9" ht="30">
      <c r="A3" s="843" t="s">
        <v>72</v>
      </c>
      <c r="B3" s="843"/>
      <c r="C3" s="843"/>
      <c r="D3" s="843"/>
      <c r="E3" s="843"/>
      <c r="F3" s="843"/>
      <c r="G3" s="843"/>
      <c r="H3" s="843"/>
      <c r="I3" s="843"/>
    </row>
    <row r="4" spans="1:9" ht="96" customHeight="1">
      <c r="A4" s="34"/>
      <c r="B4" s="34"/>
      <c r="C4" s="34"/>
      <c r="D4" s="34"/>
      <c r="E4" s="34"/>
      <c r="F4" s="34"/>
      <c r="G4" s="34"/>
      <c r="H4" s="34"/>
      <c r="I4" s="34"/>
    </row>
    <row r="5" spans="1:9" ht="78" customHeight="1">
      <c r="A5" s="56" t="s">
        <v>40</v>
      </c>
      <c r="B5" s="839" t="e">
        <f>#REF!</f>
        <v>#REF!</v>
      </c>
      <c r="C5" s="839"/>
      <c r="D5" s="839"/>
      <c r="E5" s="839"/>
      <c r="F5" s="839"/>
      <c r="G5" s="839"/>
      <c r="H5" s="839"/>
      <c r="I5" s="839"/>
    </row>
    <row r="6" spans="1:9" ht="20.25" customHeight="1">
      <c r="A6" s="35"/>
      <c r="B6" s="35"/>
      <c r="C6" s="35"/>
      <c r="D6" s="35"/>
      <c r="E6" s="35"/>
      <c r="F6" s="35"/>
      <c r="G6" s="35"/>
      <c r="H6" s="35"/>
      <c r="I6" s="33"/>
    </row>
    <row r="7" spans="1:9" ht="60.75" customHeight="1">
      <c r="A7" s="56" t="s">
        <v>82</v>
      </c>
      <c r="B7" s="839" t="s">
        <v>289</v>
      </c>
      <c r="C7" s="839"/>
      <c r="D7" s="839"/>
      <c r="E7" s="839"/>
      <c r="F7" s="839"/>
      <c r="G7" s="839"/>
      <c r="H7" s="839"/>
      <c r="I7" s="839"/>
    </row>
    <row r="8" spans="1:9" ht="21" customHeight="1">
      <c r="A8" s="35"/>
      <c r="B8" s="35"/>
      <c r="C8" s="35"/>
      <c r="D8" s="35"/>
      <c r="E8" s="35"/>
      <c r="F8" s="35"/>
      <c r="G8" s="35"/>
      <c r="H8" s="35"/>
      <c r="I8" s="33"/>
    </row>
    <row r="9" spans="1:9" ht="66.75" customHeight="1">
      <c r="A9" s="56" t="s">
        <v>39</v>
      </c>
      <c r="B9" s="839" t="s">
        <v>798</v>
      </c>
      <c r="C9" s="839"/>
      <c r="D9" s="839"/>
      <c r="E9" s="839"/>
      <c r="F9" s="839"/>
      <c r="G9" s="839"/>
      <c r="H9" s="839"/>
      <c r="I9" s="839"/>
    </row>
    <row r="10" spans="1:9" ht="20.25" customHeight="1">
      <c r="A10" s="57"/>
      <c r="B10" s="35"/>
      <c r="C10" s="35"/>
      <c r="D10" s="35"/>
      <c r="E10" s="35"/>
      <c r="F10" s="35"/>
      <c r="G10" s="35"/>
      <c r="H10" s="35"/>
      <c r="I10" s="35"/>
    </row>
    <row r="11" spans="1:9" ht="38.25" customHeight="1">
      <c r="A11" s="56" t="s">
        <v>257</v>
      </c>
      <c r="B11" s="839" t="s">
        <v>816</v>
      </c>
      <c r="C11" s="839"/>
      <c r="D11" s="839"/>
      <c r="E11" s="839"/>
      <c r="F11" s="839"/>
      <c r="G11" s="839"/>
      <c r="H11" s="839"/>
      <c r="I11" s="839"/>
    </row>
    <row r="12" spans="1:9" ht="20.25">
      <c r="A12" s="38"/>
      <c r="B12" s="842"/>
      <c r="C12" s="842"/>
      <c r="D12" s="842"/>
      <c r="E12" s="842"/>
      <c r="F12" s="842"/>
      <c r="G12" s="842"/>
      <c r="H12" s="842"/>
      <c r="I12" s="842"/>
    </row>
    <row r="13" spans="1:9" ht="49.5" customHeight="1">
      <c r="A13" s="56" t="s">
        <v>83</v>
      </c>
      <c r="B13" s="839" t="s">
        <v>502</v>
      </c>
      <c r="C13" s="839"/>
      <c r="D13" s="839"/>
      <c r="E13" s="839"/>
      <c r="F13" s="839"/>
      <c r="G13" s="839"/>
      <c r="H13" s="839"/>
      <c r="I13" s="839"/>
    </row>
    <row r="14" spans="1:9" ht="12.75">
      <c r="A14" s="29"/>
      <c r="B14" s="30"/>
      <c r="C14" s="31"/>
      <c r="D14" s="29"/>
      <c r="E14" s="32"/>
      <c r="F14" s="29"/>
      <c r="G14" s="33"/>
      <c r="H14" s="33"/>
      <c r="I14" s="33"/>
    </row>
    <row r="15" spans="1:9" ht="46.5" customHeight="1">
      <c r="A15" s="56" t="s">
        <v>84</v>
      </c>
      <c r="B15" s="747" t="s">
        <v>817</v>
      </c>
      <c r="C15" s="747"/>
      <c r="D15" s="747"/>
      <c r="E15" s="747"/>
      <c r="F15" s="747"/>
      <c r="G15" s="747"/>
      <c r="H15" s="747"/>
      <c r="I15" s="747"/>
    </row>
    <row r="16" spans="1:9" ht="15">
      <c r="A16" s="56"/>
      <c r="B16" s="56"/>
      <c r="C16" s="56"/>
      <c r="D16" s="56"/>
      <c r="E16" s="56"/>
      <c r="F16" s="56"/>
      <c r="G16" s="56"/>
      <c r="H16" s="56"/>
      <c r="I16" s="56"/>
    </row>
    <row r="17" spans="1:9" ht="15">
      <c r="A17" s="56"/>
      <c r="B17" s="56"/>
      <c r="C17" s="56"/>
      <c r="D17" s="56"/>
      <c r="E17" s="56"/>
      <c r="F17" s="56"/>
      <c r="G17" s="56"/>
      <c r="H17" s="56"/>
      <c r="I17" s="56"/>
    </row>
    <row r="18" spans="1:9" ht="17.25">
      <c r="A18" s="840" t="s">
        <v>135</v>
      </c>
      <c r="B18" s="840"/>
      <c r="C18" s="840"/>
      <c r="D18" s="840"/>
      <c r="E18" s="841"/>
      <c r="F18" s="841"/>
      <c r="G18" s="841"/>
      <c r="H18" s="841"/>
      <c r="I18" s="841"/>
    </row>
    <row r="19" spans="1:9" ht="12.75">
      <c r="A19" s="58"/>
      <c r="B19" s="59"/>
      <c r="C19" s="60"/>
      <c r="D19" s="58"/>
      <c r="E19" s="61"/>
      <c r="F19" s="58"/>
      <c r="G19" s="62"/>
      <c r="H19" s="62"/>
      <c r="I19" s="62"/>
    </row>
    <row r="20" spans="1:9" ht="19.5" customHeight="1">
      <c r="A20" s="63" t="s">
        <v>45</v>
      </c>
      <c r="B20" s="836"/>
      <c r="C20" s="836"/>
      <c r="D20" s="836"/>
      <c r="E20" s="836"/>
      <c r="F20" s="836"/>
      <c r="G20" s="836"/>
      <c r="H20" s="836"/>
      <c r="I20" s="836"/>
    </row>
    <row r="21" spans="1:9" ht="12.75">
      <c r="A21" s="29"/>
      <c r="B21" s="30"/>
      <c r="C21" s="31"/>
      <c r="D21" s="29"/>
      <c r="E21" s="32"/>
      <c r="F21" s="29"/>
      <c r="G21" s="33"/>
      <c r="H21" s="33"/>
      <c r="I21" s="33"/>
    </row>
    <row r="22" spans="1:9" ht="17.25">
      <c r="A22" s="840" t="s">
        <v>136</v>
      </c>
      <c r="B22" s="840"/>
      <c r="C22" s="840"/>
      <c r="D22" s="840">
        <f>'[1]KI2'!E26</f>
        <v>0</v>
      </c>
      <c r="E22" s="841"/>
      <c r="F22" s="841"/>
      <c r="G22" s="841"/>
      <c r="H22" s="841"/>
      <c r="I22" s="841"/>
    </row>
    <row r="23" spans="1:9" ht="12.75">
      <c r="A23" s="58"/>
      <c r="B23" s="59"/>
      <c r="C23" s="60"/>
      <c r="D23" s="58"/>
      <c r="E23" s="61"/>
      <c r="F23" s="58"/>
      <c r="G23" s="62"/>
      <c r="H23" s="62"/>
      <c r="I23" s="62"/>
    </row>
    <row r="24" spans="1:9" ht="21" customHeight="1">
      <c r="A24" s="63" t="s">
        <v>45</v>
      </c>
      <c r="B24" s="836"/>
      <c r="C24" s="836"/>
      <c r="D24" s="836"/>
      <c r="E24" s="836"/>
      <c r="F24" s="836"/>
      <c r="G24" s="836"/>
      <c r="H24" s="836"/>
      <c r="I24" s="836"/>
    </row>
    <row r="25" spans="1:9" ht="12.75">
      <c r="A25" s="29"/>
      <c r="B25" s="30"/>
      <c r="C25" s="31"/>
      <c r="D25" s="29"/>
      <c r="E25" s="32"/>
      <c r="F25" s="29"/>
      <c r="G25" s="33"/>
      <c r="H25" s="33"/>
      <c r="I25" s="33"/>
    </row>
    <row r="33" spans="2:8" ht="12.75">
      <c r="B33" t="s">
        <v>85</v>
      </c>
      <c r="H33" t="s">
        <v>85</v>
      </c>
    </row>
    <row r="34" spans="2:8" ht="12.75">
      <c r="B34" s="837" t="s">
        <v>86</v>
      </c>
      <c r="C34" s="837"/>
      <c r="H34" s="64" t="s">
        <v>39</v>
      </c>
    </row>
    <row r="66" spans="1:25" ht="12.75">
      <c r="A66" s="329" t="e">
        <f>#REF!</f>
        <v>#REF!</v>
      </c>
      <c r="B66" s="330"/>
      <c r="C66" s="330"/>
      <c r="D66" s="330"/>
      <c r="E66" s="330"/>
      <c r="F66" s="330"/>
      <c r="G66" s="838" t="s">
        <v>496</v>
      </c>
      <c r="H66" s="838"/>
      <c r="I66" s="330"/>
      <c r="J66" s="330"/>
      <c r="K66" s="331"/>
      <c r="O66" s="329" t="e">
        <f>#REF!</f>
        <v>#REF!</v>
      </c>
      <c r="P66" s="330"/>
      <c r="Q66" s="330"/>
      <c r="R66" s="330"/>
      <c r="S66" s="330"/>
      <c r="T66" s="330"/>
      <c r="U66" s="838" t="s">
        <v>496</v>
      </c>
      <c r="V66" s="838"/>
      <c r="W66" s="330"/>
      <c r="X66" s="330"/>
      <c r="Y66" s="331"/>
    </row>
    <row r="67" spans="1:25" ht="12.75">
      <c r="A67" s="332"/>
      <c r="B67" s="330"/>
      <c r="C67" s="333" t="s">
        <v>497</v>
      </c>
      <c r="D67" s="334" t="s">
        <v>498</v>
      </c>
      <c r="E67" s="333" t="s">
        <v>497</v>
      </c>
      <c r="F67" s="334" t="s">
        <v>498</v>
      </c>
      <c r="G67" s="333" t="s">
        <v>497</v>
      </c>
      <c r="H67" s="334" t="s">
        <v>498</v>
      </c>
      <c r="I67" s="462" t="s">
        <v>499</v>
      </c>
      <c r="J67" s="336" t="s">
        <v>500</v>
      </c>
      <c r="K67" s="331"/>
      <c r="O67" s="332"/>
      <c r="P67" s="330"/>
      <c r="Q67" s="333" t="s">
        <v>497</v>
      </c>
      <c r="R67" s="334" t="s">
        <v>498</v>
      </c>
      <c r="S67" s="333" t="s">
        <v>497</v>
      </c>
      <c r="T67" s="334" t="s">
        <v>498</v>
      </c>
      <c r="U67" s="333" t="s">
        <v>497</v>
      </c>
      <c r="V67" s="334" t="s">
        <v>498</v>
      </c>
      <c r="W67" s="462" t="s">
        <v>499</v>
      </c>
      <c r="X67" s="336" t="s">
        <v>500</v>
      </c>
      <c r="Y67" s="331"/>
    </row>
    <row r="68" spans="1:25" ht="12.75">
      <c r="A68" s="330" t="e">
        <f>INT(A$66/10000000)</f>
        <v>#REF!</v>
      </c>
      <c r="B68" s="330"/>
      <c r="C68" s="337" t="e">
        <f>IF(AND(A68&gt;=0,A68&lt;=5),1,0)</f>
        <v>#REF!</v>
      </c>
      <c r="D68" s="337" t="e">
        <f>IF(AND(A68&gt;=6,A68&lt;=9),1,0)</f>
        <v>#REF!</v>
      </c>
      <c r="E68" s="338" t="e">
        <f>IF(A68=0,"",IF(A68=1,IF(A69=0,"dziesięć milionów ",""),IF(A68=2,"dwadzieścia ",IF(A68=3,"trzydzieści ",IF(A68=4,"czterdzieści ",IF(A68=5,"pięćdziesiąt ",""))))))</f>
        <v>#REF!</v>
      </c>
      <c r="F68" s="338" t="e">
        <f>IF(A68=6,"sześćdziesiąt ",IF(A68=7,"siedemdziesiąt ",IF(A68=8,"osiemdziesiąt ",IF(A68=9,"dziewięćdziesiąt ",""))))</f>
        <v>#REF!</v>
      </c>
      <c r="G68" s="330"/>
      <c r="H68" s="330"/>
      <c r="I68" s="330"/>
      <c r="J68" s="338" t="e">
        <f>IF(C68,E68&amp;I68,IF(D68,F68&amp;I68,""))</f>
        <v>#REF!</v>
      </c>
      <c r="K68" s="331"/>
      <c r="O68" s="330" t="e">
        <f>INT(O$66/10000000)</f>
        <v>#REF!</v>
      </c>
      <c r="P68" s="330"/>
      <c r="Q68" s="337" t="e">
        <f>IF(AND(O68&gt;=0,O68&lt;=5),1,0)</f>
        <v>#REF!</v>
      </c>
      <c r="R68" s="337" t="e">
        <f>IF(AND(O68&gt;=6,O68&lt;=9),1,0)</f>
        <v>#REF!</v>
      </c>
      <c r="S68" s="338" t="e">
        <f>IF(O68=0,"",IF(O68=1,IF(O69=0,"dziesięć milionów ",""),IF(O68=2,"dwadzieścia ",IF(O68=3,"trzydzieści ",IF(O68=4,"czterdzieści ",IF(O68=5,"pięćdziesiąt ",""))))))</f>
        <v>#REF!</v>
      </c>
      <c r="T68" s="338" t="e">
        <f>IF(O68=6,"sześćdziesiąt ",IF(O68=7,"siedemdziesiąt ",IF(O68=8,"osiemdziesiąt ",IF(O68=9,"dziewięćdziesiąt ",""))))</f>
        <v>#REF!</v>
      </c>
      <c r="U68" s="330"/>
      <c r="V68" s="330"/>
      <c r="W68" s="330"/>
      <c r="X68" s="338" t="e">
        <f>IF(Q68,S68&amp;W68,IF(R68,T68&amp;W68,""))</f>
        <v>#REF!</v>
      </c>
      <c r="Y68" s="331"/>
    </row>
    <row r="69" spans="1:25" ht="12.75">
      <c r="A69" s="332" t="e">
        <f>INT(A$66/1000000)-A68*10</f>
        <v>#REF!</v>
      </c>
      <c r="B69" s="330"/>
      <c r="C69" s="337" t="e">
        <f aca="true" t="shared" si="0" ref="C69:C75">IF(AND(A69&gt;=0,A69&lt;=5),1,0)</f>
        <v>#REF!</v>
      </c>
      <c r="D69" s="337" t="e">
        <f aca="true" t="shared" si="1" ref="D69:D75">IF(AND(A69&gt;=6,A69&lt;=9),1,0)</f>
        <v>#REF!</v>
      </c>
      <c r="E69" s="338" t="e">
        <f>IF(A69=0,IF(AND(A68&lt;&gt;0,A68&lt;&gt;1),"milionów ",""),IF(A69=1,IF(A68=0,"jeden milion ","jeden milionów "),IF(A69=2,"dwa miliony ",IF(A69=3,"trzy miliony ",IF(A69=4,"cztery miliony ",IF(A69=5,"pięć milionów ",""))))))</f>
        <v>#REF!</v>
      </c>
      <c r="F69" s="338" t="e">
        <f>IF(A69=6,"sześć milionów ",IF(A69=7,"siedem milionów ",IF(A69=8,"osiem milionów ",IF(A69=9,"dziewięć milionów ",""))))</f>
        <v>#REF!</v>
      </c>
      <c r="G69" s="338" t="e">
        <f>IF(A69=0,"",IF(A69=1,"jedenaście milionów ",IF(A69=2,"dwanaście milionów ",IF(A69=3,"trzynaście milionów ",IF(A69=4,"czternaście milionów ",IF(A69=5,"piętnaście milionów ",""))))))</f>
        <v>#REF!</v>
      </c>
      <c r="H69" s="338" t="e">
        <f>IF(A69=6,"szesnaście milionów ",IF(A69=7,"siedemnaście milionów ",IF(A69=8,"osiemnaście milionów ",IF(A69=9,"dziewiętnaście milionów ",""))))</f>
        <v>#REF!</v>
      </c>
      <c r="I69" s="330"/>
      <c r="J69" s="338" t="e">
        <f>IF(A68=1,IF(C69,G69,IF(D69,H69)),IF(C69,E69,IF(D69,F69,"")))</f>
        <v>#REF!</v>
      </c>
      <c r="K69" s="331"/>
      <c r="O69" s="332" t="e">
        <f>INT(O$66/1000000)-O68*10</f>
        <v>#REF!</v>
      </c>
      <c r="P69" s="330"/>
      <c r="Q69" s="337" t="e">
        <f aca="true" t="shared" si="2" ref="Q69:Q75">IF(AND(O69&gt;=0,O69&lt;=5),1,0)</f>
        <v>#REF!</v>
      </c>
      <c r="R69" s="337" t="e">
        <f aca="true" t="shared" si="3" ref="R69:R75">IF(AND(O69&gt;=6,O69&lt;=9),1,0)</f>
        <v>#REF!</v>
      </c>
      <c r="S69" s="338" t="e">
        <f>IF(O69=0,IF(AND(O68&lt;&gt;0,O68&lt;&gt;1),"milionów ",""),IF(O69=1,IF(O68=0,"jeden milion ","jeden milionów "),IF(O69=2,"dwa miliony ",IF(O69=3,"trzy miliony ",IF(O69=4,"cztery miliony ",IF(O69=5,"pięć milionów ",""))))))</f>
        <v>#REF!</v>
      </c>
      <c r="T69" s="338" t="e">
        <f>IF(O69=6,"sześć milionów ",IF(O69=7,"siedem milionów ",IF(O69=8,"osiem milionów ",IF(O69=9,"dziewięć milionów ",""))))</f>
        <v>#REF!</v>
      </c>
      <c r="U69" s="338" t="e">
        <f>IF(O69=0,"",IF(O69=1,"jedenaście milionów ",IF(O69=2,"dwanaście milionów ",IF(O69=3,"trzynaście milionów ",IF(O69=4,"czternaście milionów ",IF(O69=5,"piętnaście milionów ",""))))))</f>
        <v>#REF!</v>
      </c>
      <c r="V69" s="338" t="e">
        <f>IF(O69=6,"szesnaście milionów ",IF(O69=7,"siedemnaście milionów ",IF(O69=8,"osiemnaście milionów ",IF(O69=9,"dziewiętnaście milionów ",""))))</f>
        <v>#REF!</v>
      </c>
      <c r="W69" s="330"/>
      <c r="X69" s="338" t="e">
        <f>IF(O68=1,IF(Q69,U69,IF(R69,V69)),IF(Q69,S69,IF(R69,T69,"")))</f>
        <v>#REF!</v>
      </c>
      <c r="Y69" s="331"/>
    </row>
    <row r="70" spans="1:25" ht="12.75">
      <c r="A70" s="330" t="e">
        <f>INT(A$66/100000)-10*A69-100*A68</f>
        <v>#REF!</v>
      </c>
      <c r="B70" s="330"/>
      <c r="C70" s="337" t="e">
        <f t="shared" si="0"/>
        <v>#REF!</v>
      </c>
      <c r="D70" s="337" t="e">
        <f t="shared" si="1"/>
        <v>#REF!</v>
      </c>
      <c r="E70" s="338" t="e">
        <f>IF(A70=0,"",IF(A70=1,"sto ",IF(A70=2,"dwieście ",IF(A70=3,"trzysta ",IF(A70=4,"czterysta ",IF(A70=5,"pięćset ",""))))))</f>
        <v>#REF!</v>
      </c>
      <c r="F70" s="338" t="e">
        <f>IF(A70=6,"sześćset ",IF(A70=7,"siedemset ",IF(A70=8,"osiemset ",IF(A70=9,"dziewięćset ",""))))</f>
        <v>#REF!</v>
      </c>
      <c r="G70" s="330"/>
      <c r="H70" s="330"/>
      <c r="I70" s="330"/>
      <c r="J70" s="338" t="e">
        <f>IF(C70,E70&amp;I70,IF(D70,F70&amp;I70,""))</f>
        <v>#REF!</v>
      </c>
      <c r="K70" s="331"/>
      <c r="O70" s="330" t="e">
        <f>INT(O$66/100000)-10*O69-100*O68</f>
        <v>#REF!</v>
      </c>
      <c r="P70" s="330"/>
      <c r="Q70" s="337" t="e">
        <f t="shared" si="2"/>
        <v>#REF!</v>
      </c>
      <c r="R70" s="337" t="e">
        <f t="shared" si="3"/>
        <v>#REF!</v>
      </c>
      <c r="S70" s="338" t="e">
        <f>IF(O70=0,"",IF(O70=1,"sto ",IF(O70=2,"dwieście ",IF(O70=3,"trzysta ",IF(O70=4,"czterysta ",IF(O70=5,"pięćset ",""))))))</f>
        <v>#REF!</v>
      </c>
      <c r="T70" s="338" t="e">
        <f>IF(O70=6,"sześćset ",IF(O70=7,"siedemset ",IF(O70=8,"osiemset ",IF(O70=9,"dziewięćset ",""))))</f>
        <v>#REF!</v>
      </c>
      <c r="U70" s="330"/>
      <c r="V70" s="330"/>
      <c r="W70" s="330"/>
      <c r="X70" s="338" t="e">
        <f>IF(Q70,S70&amp;W70,IF(R70,T70&amp;W70,""))</f>
        <v>#REF!</v>
      </c>
      <c r="Y70" s="331"/>
    </row>
    <row r="71" spans="1:25" ht="12.75">
      <c r="A71" s="330" t="e">
        <f>INT(A$66/10000)-10*A70-100*A69-1000*A68</f>
        <v>#REF!</v>
      </c>
      <c r="B71" s="330"/>
      <c r="C71" s="337" t="e">
        <f t="shared" si="0"/>
        <v>#REF!</v>
      </c>
      <c r="D71" s="337" t="e">
        <f t="shared" si="1"/>
        <v>#REF!</v>
      </c>
      <c r="E71" s="338" t="e">
        <f>IF(A71=0,"",IF(A71=1,IF(A72=0,"dziesięć tysięcy ",""),IF(A71=2,"dwadzieścia ",IF(A71=3,"trzydzieści ",IF(A71=4,"czterdzieści ",IF(A71=5,"pięćdziesiąt ",""))))))</f>
        <v>#REF!</v>
      </c>
      <c r="F71" s="338" t="e">
        <f>IF(A71=6,"sześćdziesiąt ",IF(A71=7,"siedemdziesiąt ",IF(A71=8,"osiemdziesiąt ",IF(A71=9,"dziewięćdziesiąt ",""))))</f>
        <v>#REF!</v>
      </c>
      <c r="G71" s="330"/>
      <c r="H71" s="330"/>
      <c r="I71" s="330"/>
      <c r="J71" s="338" t="e">
        <f>IF(C71,E71&amp;I71,IF(D71,F71&amp;I71,""))</f>
        <v>#REF!</v>
      </c>
      <c r="K71" s="331"/>
      <c r="O71" s="330" t="e">
        <f>INT(O$66/10000)-10*O70-100*O69-1000*O68</f>
        <v>#REF!</v>
      </c>
      <c r="P71" s="330"/>
      <c r="Q71" s="337" t="e">
        <f t="shared" si="2"/>
        <v>#REF!</v>
      </c>
      <c r="R71" s="337" t="e">
        <f t="shared" si="3"/>
        <v>#REF!</v>
      </c>
      <c r="S71" s="338" t="e">
        <f>IF(O71=0,"",IF(O71=1,IF(O72=0,"dziesięć tysięcy ",""),IF(O71=2,"dwadzieścia ",IF(O71=3,"trzydzieści ",IF(O71=4,"czterdzieści ",IF(O71=5,"pięćdziesiąt ",""))))))</f>
        <v>#REF!</v>
      </c>
      <c r="T71" s="338" t="e">
        <f>IF(O71=6,"sześćdziesiąt ",IF(O71=7,"siedemdziesiąt ",IF(O71=8,"osiemdziesiąt ",IF(O71=9,"dziewięćdziesiąt ",""))))</f>
        <v>#REF!</v>
      </c>
      <c r="U71" s="330"/>
      <c r="V71" s="330"/>
      <c r="W71" s="330"/>
      <c r="X71" s="338" t="e">
        <f>IF(Q71,S71&amp;W71,IF(R71,T71&amp;W71,""))</f>
        <v>#REF!</v>
      </c>
      <c r="Y71" s="331"/>
    </row>
    <row r="72" spans="1:25" ht="12.75">
      <c r="A72" s="332" t="e">
        <f>INT(A$66/1000)-10*A71-100*A70-1000*A69-10000*A68</f>
        <v>#REF!</v>
      </c>
      <c r="B72" s="330"/>
      <c r="C72" s="337" t="e">
        <f t="shared" si="0"/>
        <v>#REF!</v>
      </c>
      <c r="D72" s="337" t="e">
        <f t="shared" si="1"/>
        <v>#REF!</v>
      </c>
      <c r="E72" s="338" t="e">
        <f>IF(A72=0,IF(OR(AND(A71&lt;&gt;0,A71&lt;&gt;1),AND(A70&lt;&gt;0,A71=0)),"tysięcy ",""),IF(A72=1,IF(AND(A70=0,A71=0),"jeden tysiąc ","jeden tysięcy "),IF(A72=2,"dwa tysiące ",IF(A72=3,"trzy tysiące ",IF(A72=4,"cztery tysiące ",IF(A72=5,"pięć tysięcy ",""))))))</f>
        <v>#REF!</v>
      </c>
      <c r="F72" s="338" t="e">
        <f>IF(A72=6,"sześć tysięcy ",IF(A72=7,"siedem tysięcy ",IF(A72=8,"osiem tysięcy ",IF(A72=9,"dziewięć tysięcy ",""))))</f>
        <v>#REF!</v>
      </c>
      <c r="G72" s="338" t="e">
        <f>IF(A72=0,"",IF(A72=1,"jedenaście tysięcy ",IF(A72=2,"dwanaście tysięcy ",IF(A72=3,"trzynaście tysięcy ",IF(A72=4,"czternaście tysięcy ",IF(A72=5,"piętnaście tysięcy ",""))))))</f>
        <v>#REF!</v>
      </c>
      <c r="H72" s="338" t="e">
        <f>IF(A72=6,"szesnaście tysięcy ",IF(A72=7,"siedemnaście tysięcy ",IF(A72=8,"osiemnaście tysięcy ",IF(A72=9,"dziewiętnaście tysięcy ",""))))</f>
        <v>#REF!</v>
      </c>
      <c r="I72" s="330"/>
      <c r="J72" s="338" t="e">
        <f>IF(A71=1,IF(C72,G72,IF(D72,H72)),IF(C72,E72,IF(D72,F72,"")))</f>
        <v>#REF!</v>
      </c>
      <c r="K72" s="330"/>
      <c r="O72" s="332" t="e">
        <f>INT(O$66/1000)-10*O71-100*O70-1000*O69-10000*O68</f>
        <v>#REF!</v>
      </c>
      <c r="P72" s="330"/>
      <c r="Q72" s="337" t="e">
        <f t="shared" si="2"/>
        <v>#REF!</v>
      </c>
      <c r="R72" s="337" t="e">
        <f t="shared" si="3"/>
        <v>#REF!</v>
      </c>
      <c r="S72" s="338" t="e">
        <f>IF(O72=0,IF(OR(AND(O71&lt;&gt;0,O71&lt;&gt;1),AND(O70&lt;&gt;0,O71=0)),"tysięcy ",""),IF(O72=1,IF(AND(O70=0,O71=0),"jeden tysiąc ","jeden tysięcy "),IF(O72=2,"dwa tysiące ",IF(O72=3,"trzy tysiące ",IF(O72=4,"cztery tysiące ",IF(O72=5,"pięć tysięcy ",""))))))</f>
        <v>#REF!</v>
      </c>
      <c r="T72" s="338" t="e">
        <f>IF(O72=6,"sześć tysięcy ",IF(O72=7,"siedem tysięcy ",IF(O72=8,"osiem tysięcy ",IF(O72=9,"dziewięć tysięcy ",""))))</f>
        <v>#REF!</v>
      </c>
      <c r="U72" s="338" t="e">
        <f>IF(O72=0,"",IF(O72=1,"jedenaście tysięcy ",IF(O72=2,"dwanaście tysięcy ",IF(O72=3,"trzynaście tysięcy ",IF(O72=4,"czternaście tysięcy ",IF(O72=5,"piętnaście tysięcy ",""))))))</f>
        <v>#REF!</v>
      </c>
      <c r="V72" s="338" t="e">
        <f>IF(O72=6,"szesnaście tysięcy ",IF(O72=7,"siedemnaście tysięcy ",IF(O72=8,"osiemnaście tysięcy ",IF(O72=9,"dziewiętnaście tysięcy ",""))))</f>
        <v>#REF!</v>
      </c>
      <c r="W72" s="330"/>
      <c r="X72" s="338" t="e">
        <f>IF(O71=1,IF(Q72,U72,IF(R72,V72)),IF(Q72,S72,IF(R72,T72,"")))</f>
        <v>#REF!</v>
      </c>
      <c r="Y72" s="330"/>
    </row>
    <row r="73" spans="1:25" ht="12.75">
      <c r="A73" s="330" t="e">
        <f>INT(A$66/100)-10*A72-100*A71-1000*A70-10000*A69-100000*A68</f>
        <v>#REF!</v>
      </c>
      <c r="B73" s="330"/>
      <c r="C73" s="337" t="e">
        <f t="shared" si="0"/>
        <v>#REF!</v>
      </c>
      <c r="D73" s="337" t="e">
        <f t="shared" si="1"/>
        <v>#REF!</v>
      </c>
      <c r="E73" s="338" t="e">
        <f>IF(A73=0,"",IF(A73=1,"sto ",IF(A73=2,"dwieście ",IF(A73=3,"trzysta ",IF(A73=4,"czterysta ",IF(A73=5,"pięćset ",""))))))</f>
        <v>#REF!</v>
      </c>
      <c r="F73" s="338" t="e">
        <f>IF(A73=6,"sześćset ",IF(A73=7,"siedemset ",IF(A73=8,"osiemset ",IF(A73=9,"dziewięćset ",""))))</f>
        <v>#REF!</v>
      </c>
      <c r="G73" s="330"/>
      <c r="H73" s="330"/>
      <c r="I73" s="330"/>
      <c r="J73" s="338" t="e">
        <f>IF(C73,E73&amp;I73,IF(D73,F73&amp;I73,""))</f>
        <v>#REF!</v>
      </c>
      <c r="K73" s="330"/>
      <c r="O73" s="330" t="e">
        <f>INT(O$66/100)-10*O72-100*O71-1000*O70-10000*O69-100000*O68</f>
        <v>#REF!</v>
      </c>
      <c r="P73" s="330"/>
      <c r="Q73" s="337" t="e">
        <f t="shared" si="2"/>
        <v>#REF!</v>
      </c>
      <c r="R73" s="337" t="e">
        <f t="shared" si="3"/>
        <v>#REF!</v>
      </c>
      <c r="S73" s="338" t="e">
        <f>IF(O73=0,"",IF(O73=1,"sto ",IF(O73=2,"dwieście ",IF(O73=3,"trzysta ",IF(O73=4,"czterysta ",IF(O73=5,"pięćset ",""))))))</f>
        <v>#REF!</v>
      </c>
      <c r="T73" s="338" t="e">
        <f>IF(O73=6,"sześćset ",IF(O73=7,"siedemset ",IF(O73=8,"osiemset ",IF(O73=9,"dziewięćset ",""))))</f>
        <v>#REF!</v>
      </c>
      <c r="U73" s="330"/>
      <c r="V73" s="330"/>
      <c r="W73" s="330"/>
      <c r="X73" s="338" t="e">
        <f>IF(Q73,S73&amp;W73,IF(R73,T73&amp;W73,""))</f>
        <v>#REF!</v>
      </c>
      <c r="Y73" s="330"/>
    </row>
    <row r="74" spans="1:25" ht="12.75">
      <c r="A74" s="330" t="e">
        <f>INT(A$66/10)-10*A73-100*A72-1000*A71-10000*A70-100000*A69-1000000*A68</f>
        <v>#REF!</v>
      </c>
      <c r="B74" s="330"/>
      <c r="C74" s="337" t="e">
        <f t="shared" si="0"/>
        <v>#REF!</v>
      </c>
      <c r="D74" s="337" t="e">
        <f t="shared" si="1"/>
        <v>#REF!</v>
      </c>
      <c r="E74" s="338" t="e">
        <f>IF(A74=0,"",IF(A74=1,IF(A75=0,"dziesięć ",""),IF(A74=2,"dwadzieścia ",IF(A74=3,"trzydzieści ",IF(A74=4,"czterdzieści ",IF(A74=5,"pięćdziesiąt ",""))))))</f>
        <v>#REF!</v>
      </c>
      <c r="F74" s="338" t="e">
        <f>IF(A74=6,"sześćdziesiąt ",IF(A74=7,"siedemdziesiąt ",IF(A74=8,"osiemdziesiąt ",IF(A74=9,"dziewięćdziesiąt ",""))))</f>
        <v>#REF!</v>
      </c>
      <c r="G74" s="330"/>
      <c r="H74" s="330"/>
      <c r="I74" s="330"/>
      <c r="J74" s="338" t="e">
        <f>IF(C74,E74&amp;I74,IF(D74,F74&amp;I74,""))</f>
        <v>#REF!</v>
      </c>
      <c r="K74" s="330"/>
      <c r="O74" s="330" t="e">
        <f>INT(O$66/10)-10*O73-100*O72-1000*O71-10000*O70-100000*O69-1000000*O68</f>
        <v>#REF!</v>
      </c>
      <c r="P74" s="330"/>
      <c r="Q74" s="337" t="e">
        <f t="shared" si="2"/>
        <v>#REF!</v>
      </c>
      <c r="R74" s="337" t="e">
        <f t="shared" si="3"/>
        <v>#REF!</v>
      </c>
      <c r="S74" s="338" t="e">
        <f>IF(O74=0,"",IF(O74=1,IF(O75=0,"dziesięć ",""),IF(O74=2,"dwadzieścia ",IF(O74=3,"trzydzieści ",IF(O74=4,"czterdzieści ",IF(O74=5,"pięćdziesiąt ",""))))))</f>
        <v>#REF!</v>
      </c>
      <c r="T74" s="338" t="e">
        <f>IF(O74=6,"sześćdziesiąt ",IF(O74=7,"siedemdziesiąt ",IF(O74=8,"osiemdziesiąt ",IF(O74=9,"dziewięćdziesiąt ",""))))</f>
        <v>#REF!</v>
      </c>
      <c r="U74" s="330"/>
      <c r="V74" s="330"/>
      <c r="W74" s="330"/>
      <c r="X74" s="338" t="e">
        <f>IF(Q74,S74&amp;W74,IF(R74,T74&amp;W74,""))</f>
        <v>#REF!</v>
      </c>
      <c r="Y74" s="330"/>
    </row>
    <row r="75" spans="1:25" ht="12.75">
      <c r="A75" s="332" t="e">
        <f>INT(A$66)-10*A74-100*A73-1000*A72-10000*A71-100000*A70-1000000*A69-10000000*A68</f>
        <v>#REF!</v>
      </c>
      <c r="B75" s="330"/>
      <c r="C75" s="337" t="e">
        <f t="shared" si="0"/>
        <v>#REF!</v>
      </c>
      <c r="D75" s="337" t="e">
        <f t="shared" si="1"/>
        <v>#REF!</v>
      </c>
      <c r="E75" s="338" t="e">
        <f>IF(A75=0,"",IF(A75=1,"jeden ",IF(A75=2,"dwa ",IF(A75=3,"trzy ",IF(A75=4,"cztery ",IF(A75=5,"pięć ",""))))))</f>
        <v>#REF!</v>
      </c>
      <c r="F75" s="338" t="e">
        <f>IF(A75=6,"sześć ",IF(A75=7,"siedem ",IF(A75=8,"osiem ",IF(A75=9,"dziewięć ",""))))</f>
        <v>#REF!</v>
      </c>
      <c r="G75" s="338" t="e">
        <f>IF(A75=0,"",IF(A75=1,"jedenaście ",IF(A75=2,"dwanaście ",IF(A75=3,"trzynaście ",IF(A75=4,"czternaście ",IF(A75=5,"piętnaście ",""))))))</f>
        <v>#REF!</v>
      </c>
      <c r="H75" s="338" t="e">
        <f>IF(A75=6,"szesnaście ",IF(A75=7,"siedemnaście ",IF(A75=8,"osiemnaście ",IF(A75=9,"dziewiętnaście ",""))))</f>
        <v>#REF!</v>
      </c>
      <c r="I75" s="330"/>
      <c r="J75" s="338" t="e">
        <f>IF(A74=1,IF(C75,G75,IF(D75,H75)),IF(C75,E75,IF(D75,F75,"")))</f>
        <v>#REF!</v>
      </c>
      <c r="K75" s="330"/>
      <c r="O75" s="332" t="e">
        <f>INT(O$66)-10*O74-100*O73-1000*O72-10000*O71-100000*O70-1000000*O69-10000000*O68</f>
        <v>#REF!</v>
      </c>
      <c r="P75" s="330"/>
      <c r="Q75" s="337" t="e">
        <f t="shared" si="2"/>
        <v>#REF!</v>
      </c>
      <c r="R75" s="337" t="e">
        <f t="shared" si="3"/>
        <v>#REF!</v>
      </c>
      <c r="S75" s="338" t="e">
        <f>IF(O75=0,"",IF(O75=1,"jeden ",IF(O75=2,"dwa ",IF(O75=3,"trzy ",IF(O75=4,"cztery ",IF(O75=5,"pięć ",""))))))</f>
        <v>#REF!</v>
      </c>
      <c r="T75" s="338" t="e">
        <f>IF(O75=6,"sześć ",IF(O75=7,"siedem ",IF(O75=8,"osiem ",IF(O75=9,"dziewięć ",""))))</f>
        <v>#REF!</v>
      </c>
      <c r="U75" s="338" t="e">
        <f>IF(O75=0,"",IF(O75=1,"jedenaście ",IF(O75=2,"dwanaście ",IF(O75=3,"trzynaście ",IF(O75=4,"czternaście ",IF(O75=5,"piętnaście ",""))))))</f>
        <v>#REF!</v>
      </c>
      <c r="V75" s="338" t="e">
        <f>IF(O75=6,"szesnaście ",IF(O75=7,"siedemnaście ",IF(O75=8,"osiemnaście ",IF(O75=9,"dziewiętnaście ",""))))</f>
        <v>#REF!</v>
      </c>
      <c r="W75" s="330"/>
      <c r="X75" s="338" t="e">
        <f>IF(O74=1,IF(Q75,U75,IF(R75,V75)),IF(Q75,S75,IF(R75,T75,"")))</f>
        <v>#REF!</v>
      </c>
      <c r="Y75" s="330"/>
    </row>
    <row r="76" spans="1:25" ht="12.75">
      <c r="A76" s="339" t="e">
        <f>ROUND((A66-TRUNC(A66,0))*100,0)</f>
        <v>#REF!</v>
      </c>
      <c r="B76" s="330"/>
      <c r="C76" s="330"/>
      <c r="D76" s="330"/>
      <c r="E76" s="330"/>
      <c r="F76" s="330"/>
      <c r="G76" s="330"/>
      <c r="H76" s="330"/>
      <c r="I76" s="330"/>
      <c r="J76" s="338" t="e">
        <f>"zł "&amp;A76&amp;"/100"</f>
        <v>#REF!</v>
      </c>
      <c r="K76" s="330"/>
      <c r="O76" s="339" t="e">
        <f>ROUND((O66-TRUNC(O66,0))*100,0)</f>
        <v>#REF!</v>
      </c>
      <c r="P76" s="330"/>
      <c r="Q76" s="330"/>
      <c r="R76" s="330"/>
      <c r="S76" s="330"/>
      <c r="T76" s="330"/>
      <c r="U76" s="330"/>
      <c r="V76" s="330"/>
      <c r="W76" s="330"/>
      <c r="X76" s="338" t="e">
        <f>"zł "&amp;O76&amp;"/100"</f>
        <v>#REF!</v>
      </c>
      <c r="Y76" s="330"/>
    </row>
    <row r="77" spans="1:25" ht="12.75">
      <c r="A77" s="330"/>
      <c r="B77" s="330"/>
      <c r="C77" s="330"/>
      <c r="D77" s="330"/>
      <c r="E77" s="336" t="s">
        <v>45</v>
      </c>
      <c r="F77" s="330"/>
      <c r="G77" s="330"/>
      <c r="H77" s="330"/>
      <c r="I77" s="330"/>
      <c r="J77" s="330"/>
      <c r="K77" s="330"/>
      <c r="O77" s="330"/>
      <c r="P77" s="330"/>
      <c r="Q77" s="330"/>
      <c r="R77" s="330"/>
      <c r="S77" s="336" t="s">
        <v>45</v>
      </c>
      <c r="T77" s="330"/>
      <c r="U77" s="330"/>
      <c r="V77" s="330"/>
      <c r="W77" s="330"/>
      <c r="X77" s="330"/>
      <c r="Y77" s="330"/>
    </row>
    <row r="78" spans="1:25" ht="12.75">
      <c r="A78" s="329" t="e">
        <f>TRUNC(A66,1)</f>
        <v>#REF!</v>
      </c>
      <c r="B78" s="330"/>
      <c r="C78" s="330"/>
      <c r="D78" s="330"/>
      <c r="E78" s="338" t="e">
        <f>J68&amp;J69&amp;J70&amp;J71&amp;J72&amp;J73&amp;J74&amp;J75&amp;J76</f>
        <v>#REF!</v>
      </c>
      <c r="F78" s="338"/>
      <c r="G78" s="338"/>
      <c r="H78" s="338"/>
      <c r="I78" s="338"/>
      <c r="J78" s="338"/>
      <c r="K78" s="330"/>
      <c r="O78" s="329" t="e">
        <f>TRUNC(O66,1)</f>
        <v>#REF!</v>
      </c>
      <c r="P78" s="330"/>
      <c r="Q78" s="330"/>
      <c r="R78" s="330"/>
      <c r="S78" s="338" t="e">
        <f>X68&amp;X69&amp;X70&amp;X71&amp;X72&amp;X73&amp;X74&amp;X75&amp;X76</f>
        <v>#REF!</v>
      </c>
      <c r="T78" s="338"/>
      <c r="U78" s="338"/>
      <c r="V78" s="338"/>
      <c r="W78" s="338"/>
      <c r="X78" s="338"/>
      <c r="Y78" s="330"/>
    </row>
    <row r="79" spans="1:11" ht="12.7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</row>
  </sheetData>
  <sheetProtection/>
  <mergeCells count="17">
    <mergeCell ref="B12:I12"/>
    <mergeCell ref="A3:I3"/>
    <mergeCell ref="B5:I5"/>
    <mergeCell ref="B7:I7"/>
    <mergeCell ref="B9:I9"/>
    <mergeCell ref="B11:I11"/>
    <mergeCell ref="B24:I24"/>
    <mergeCell ref="B34:C34"/>
    <mergeCell ref="G66:H66"/>
    <mergeCell ref="U66:V66"/>
    <mergeCell ref="B13:I13"/>
    <mergeCell ref="B15:I15"/>
    <mergeCell ref="A18:D18"/>
    <mergeCell ref="E18:I18"/>
    <mergeCell ref="B20:I20"/>
    <mergeCell ref="A22:D22"/>
    <mergeCell ref="E22:I22"/>
  </mergeCells>
  <printOptions/>
  <pageMargins left="0.7" right="0.7" top="0.75" bottom="0.75" header="0.3" footer="0.3"/>
  <pageSetup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Y195"/>
  <sheetViews>
    <sheetView view="pageBreakPreview" zoomScaleSheetLayoutView="100" zoomScalePageLayoutView="0" workbookViewId="0" topLeftCell="A132">
      <selection activeCell="C31" sqref="C31:I31"/>
    </sheetView>
  </sheetViews>
  <sheetFormatPr defaultColWidth="9.125" defaultRowHeight="12.75"/>
  <cols>
    <col min="1" max="1" width="10.375" style="21" customWidth="1"/>
    <col min="2" max="2" width="15.50390625" style="49" customWidth="1"/>
    <col min="3" max="3" width="65.625" style="52" customWidth="1"/>
    <col min="4" max="4" width="10.50390625" style="53" customWidth="1"/>
    <col min="5" max="5" width="9.625" style="22" hidden="1" customWidth="1"/>
    <col min="6" max="6" width="9.625" style="504" customWidth="1"/>
    <col min="7" max="7" width="14.50390625" style="22" customWidth="1"/>
    <col min="8" max="8" width="19.875" style="514" customWidth="1"/>
    <col min="9" max="9" width="13.00390625" style="24" hidden="1" customWidth="1"/>
    <col min="10" max="10" width="6.125" style="49" hidden="1" customWidth="1"/>
    <col min="11" max="11" width="12.125" style="49" hidden="1" customWidth="1"/>
    <col min="12" max="12" width="13.00390625" style="49" hidden="1" customWidth="1"/>
    <col min="13" max="13" width="9.125" style="49" customWidth="1"/>
    <col min="14" max="14" width="13.50390625" style="49" bestFit="1" customWidth="1"/>
    <col min="15" max="16384" width="9.125" style="49" customWidth="1"/>
  </cols>
  <sheetData>
    <row r="1" spans="1:12" s="4" customFormat="1" ht="31.5" customHeight="1">
      <c r="A1" s="854" t="s">
        <v>41</v>
      </c>
      <c r="B1" s="855"/>
      <c r="C1" s="855"/>
      <c r="D1" s="855"/>
      <c r="E1" s="855"/>
      <c r="F1" s="855"/>
      <c r="G1" s="855"/>
      <c r="H1" s="855"/>
      <c r="I1" s="855"/>
      <c r="J1" s="492"/>
      <c r="K1" s="853"/>
      <c r="L1" s="853"/>
    </row>
    <row r="2" spans="1:14" s="4" customFormat="1" ht="52.5" customHeight="1">
      <c r="A2" s="834" t="s">
        <v>819</v>
      </c>
      <c r="B2" s="834"/>
      <c r="C2" s="834"/>
      <c r="D2" s="834"/>
      <c r="E2" s="834"/>
      <c r="F2" s="834"/>
      <c r="G2" s="834"/>
      <c r="H2" s="834"/>
      <c r="I2" s="834"/>
      <c r="J2" s="100"/>
      <c r="K2" s="849"/>
      <c r="L2" s="849"/>
      <c r="M2" s="6"/>
      <c r="N2" s="6"/>
    </row>
    <row r="3" spans="1:13" ht="45" customHeight="1">
      <c r="A3" s="97" t="s">
        <v>3</v>
      </c>
      <c r="B3" s="98" t="s">
        <v>228</v>
      </c>
      <c r="C3" s="97" t="s">
        <v>215</v>
      </c>
      <c r="D3" s="97" t="s">
        <v>5</v>
      </c>
      <c r="E3" s="26" t="s">
        <v>6</v>
      </c>
      <c r="F3" s="496" t="str">
        <f>I3</f>
        <v>Ilośc jednostek</v>
      </c>
      <c r="G3" s="26" t="s">
        <v>70</v>
      </c>
      <c r="H3" s="505" t="s">
        <v>71</v>
      </c>
      <c r="I3" s="130" t="s">
        <v>799</v>
      </c>
      <c r="J3" s="130"/>
      <c r="K3" s="26" t="s">
        <v>70</v>
      </c>
      <c r="L3" s="26" t="s">
        <v>71</v>
      </c>
      <c r="M3" s="523"/>
    </row>
    <row r="4" spans="1:13" ht="19.5" customHeight="1">
      <c r="A4" s="490" t="s">
        <v>33</v>
      </c>
      <c r="B4" s="847" t="s">
        <v>140</v>
      </c>
      <c r="C4" s="852"/>
      <c r="D4" s="852"/>
      <c r="E4" s="852"/>
      <c r="F4" s="852"/>
      <c r="G4" s="852"/>
      <c r="H4" s="852"/>
      <c r="I4" s="852"/>
      <c r="J4" s="130"/>
      <c r="K4" s="853"/>
      <c r="L4" s="853"/>
      <c r="M4" s="523"/>
    </row>
    <row r="5" spans="1:13" ht="26.25" customHeight="1">
      <c r="A5" s="25" t="s">
        <v>58</v>
      </c>
      <c r="B5" s="25" t="s">
        <v>73</v>
      </c>
      <c r="C5" s="848" t="s">
        <v>50</v>
      </c>
      <c r="D5" s="848"/>
      <c r="E5" s="848"/>
      <c r="F5" s="848"/>
      <c r="G5" s="848"/>
      <c r="H5" s="848"/>
      <c r="I5" s="848"/>
      <c r="J5" s="130"/>
      <c r="K5" s="849"/>
      <c r="L5" s="849"/>
      <c r="M5" s="523"/>
    </row>
    <row r="6" spans="1:13" ht="18.75" customHeight="1">
      <c r="A6" s="85" t="s">
        <v>34</v>
      </c>
      <c r="B6" s="85" t="s">
        <v>69</v>
      </c>
      <c r="C6" s="814" t="s">
        <v>109</v>
      </c>
      <c r="D6" s="814"/>
      <c r="E6" s="814"/>
      <c r="F6" s="814"/>
      <c r="G6" s="814"/>
      <c r="H6" s="814"/>
      <c r="I6" s="814"/>
      <c r="J6" s="130"/>
      <c r="K6" s="132"/>
      <c r="L6" s="132"/>
      <c r="M6" s="523"/>
    </row>
    <row r="7" spans="1:14" ht="18.75" customHeight="1">
      <c r="A7" s="97" t="s">
        <v>110</v>
      </c>
      <c r="B7" s="87" t="str">
        <f aca="true" t="shared" si="0" ref="B7:B13">B6</f>
        <v>00.00.00</v>
      </c>
      <c r="C7" s="340" t="s">
        <v>143</v>
      </c>
      <c r="D7" s="106" t="s">
        <v>446</v>
      </c>
      <c r="E7" s="341">
        <v>1</v>
      </c>
      <c r="F7" s="496">
        <f>I7</f>
        <v>1</v>
      </c>
      <c r="G7" s="341"/>
      <c r="H7" s="505"/>
      <c r="I7" s="341">
        <f aca="true" t="shared" si="1" ref="I7:I13">E7</f>
        <v>1</v>
      </c>
      <c r="J7" s="130"/>
      <c r="K7" s="132"/>
      <c r="L7" s="132"/>
      <c r="M7" s="523"/>
      <c r="N7" s="516">
        <f>H7</f>
        <v>0</v>
      </c>
    </row>
    <row r="8" spans="1:14" ht="40.5" customHeight="1">
      <c r="A8" s="97" t="s">
        <v>111</v>
      </c>
      <c r="B8" s="87" t="str">
        <f t="shared" si="0"/>
        <v>00.00.00</v>
      </c>
      <c r="C8" s="340" t="s">
        <v>197</v>
      </c>
      <c r="D8" s="106" t="s">
        <v>446</v>
      </c>
      <c r="E8" s="341">
        <v>1</v>
      </c>
      <c r="F8" s="496">
        <f>I8</f>
        <v>1</v>
      </c>
      <c r="G8" s="341"/>
      <c r="H8" s="505"/>
      <c r="I8" s="341">
        <f t="shared" si="1"/>
        <v>1</v>
      </c>
      <c r="J8" s="130"/>
      <c r="K8" s="132"/>
      <c r="L8" s="132"/>
      <c r="M8" s="523"/>
      <c r="N8" s="516">
        <f aca="true" t="shared" si="2" ref="N8:N65">H8</f>
        <v>0</v>
      </c>
    </row>
    <row r="9" spans="1:14" ht="28.5" customHeight="1">
      <c r="A9" s="97" t="s">
        <v>112</v>
      </c>
      <c r="B9" s="87" t="str">
        <f t="shared" si="0"/>
        <v>00.00.00</v>
      </c>
      <c r="C9" s="88" t="s">
        <v>550</v>
      </c>
      <c r="D9" s="131" t="s">
        <v>446</v>
      </c>
      <c r="E9" s="89">
        <v>1</v>
      </c>
      <c r="F9" s="89"/>
      <c r="G9" s="89"/>
      <c r="H9" s="506"/>
      <c r="I9" s="89">
        <f t="shared" si="1"/>
        <v>1</v>
      </c>
      <c r="J9" s="130"/>
      <c r="K9" s="132"/>
      <c r="L9" s="132"/>
      <c r="M9" s="523"/>
      <c r="N9" s="516">
        <f t="shared" si="2"/>
        <v>0</v>
      </c>
    </row>
    <row r="10" spans="1:14" ht="38.25" customHeight="1">
      <c r="A10" s="97" t="s">
        <v>113</v>
      </c>
      <c r="B10" s="87" t="str">
        <f t="shared" si="0"/>
        <v>00.00.00</v>
      </c>
      <c r="C10" s="88" t="s">
        <v>230</v>
      </c>
      <c r="D10" s="131" t="s">
        <v>446</v>
      </c>
      <c r="E10" s="89">
        <v>1</v>
      </c>
      <c r="F10" s="89"/>
      <c r="G10" s="89"/>
      <c r="H10" s="506"/>
      <c r="I10" s="89">
        <f t="shared" si="1"/>
        <v>1</v>
      </c>
      <c r="J10" s="130"/>
      <c r="K10" s="132"/>
      <c r="L10" s="132"/>
      <c r="M10" s="523"/>
      <c r="N10" s="516">
        <f t="shared" si="2"/>
        <v>0</v>
      </c>
    </row>
    <row r="11" spans="1:14" ht="28.5" customHeight="1">
      <c r="A11" s="97" t="s">
        <v>114</v>
      </c>
      <c r="B11" s="87" t="str">
        <f>B10</f>
        <v>00.00.00</v>
      </c>
      <c r="C11" s="88" t="s">
        <v>448</v>
      </c>
      <c r="D11" s="131" t="s">
        <v>446</v>
      </c>
      <c r="E11" s="89">
        <v>1</v>
      </c>
      <c r="F11" s="89"/>
      <c r="G11" s="89"/>
      <c r="H11" s="506"/>
      <c r="I11" s="89">
        <f t="shared" si="1"/>
        <v>1</v>
      </c>
      <c r="J11" s="130"/>
      <c r="K11" s="132"/>
      <c r="L11" s="132"/>
      <c r="M11" s="523"/>
      <c r="N11" s="516">
        <f t="shared" si="2"/>
        <v>0</v>
      </c>
    </row>
    <row r="12" spans="1:14" ht="28.5" customHeight="1">
      <c r="A12" s="97" t="s">
        <v>115</v>
      </c>
      <c r="B12" s="87" t="str">
        <f t="shared" si="0"/>
        <v>00.00.00</v>
      </c>
      <c r="C12" s="88" t="s">
        <v>450</v>
      </c>
      <c r="D12" s="131" t="s">
        <v>446</v>
      </c>
      <c r="E12" s="89">
        <v>1</v>
      </c>
      <c r="F12" s="89"/>
      <c r="G12" s="89"/>
      <c r="H12" s="506"/>
      <c r="I12" s="89">
        <f t="shared" si="1"/>
        <v>1</v>
      </c>
      <c r="J12" s="130"/>
      <c r="K12" s="132"/>
      <c r="L12" s="132"/>
      <c r="M12" s="523"/>
      <c r="N12" s="516">
        <f t="shared" si="2"/>
        <v>0</v>
      </c>
    </row>
    <row r="13" spans="1:14" ht="69.75" customHeight="1">
      <c r="A13" s="97" t="s">
        <v>115</v>
      </c>
      <c r="B13" s="87" t="str">
        <f t="shared" si="0"/>
        <v>00.00.00</v>
      </c>
      <c r="C13" s="88" t="s">
        <v>551</v>
      </c>
      <c r="D13" s="131" t="s">
        <v>446</v>
      </c>
      <c r="E13" s="89">
        <v>1</v>
      </c>
      <c r="F13" s="89"/>
      <c r="G13" s="89"/>
      <c r="H13" s="506"/>
      <c r="I13" s="89">
        <f t="shared" si="1"/>
        <v>1</v>
      </c>
      <c r="J13" s="130"/>
      <c r="K13" s="132"/>
      <c r="L13" s="132"/>
      <c r="M13" s="523"/>
      <c r="N13" s="516">
        <f t="shared" si="2"/>
        <v>0</v>
      </c>
    </row>
    <row r="14" spans="1:14" ht="24.75" customHeight="1">
      <c r="A14" s="844" t="s">
        <v>803</v>
      </c>
      <c r="B14" s="844"/>
      <c r="C14" s="844"/>
      <c r="D14" s="844"/>
      <c r="E14" s="844"/>
      <c r="F14" s="844"/>
      <c r="G14" s="844"/>
      <c r="H14" s="529"/>
      <c r="I14" s="530">
        <f>SUM(I5:I13)</f>
        <v>7</v>
      </c>
      <c r="J14" s="130"/>
      <c r="K14" s="132"/>
      <c r="L14" s="132"/>
      <c r="M14" s="523"/>
      <c r="N14" s="516"/>
    </row>
    <row r="15" spans="1:14" ht="21.75" customHeight="1">
      <c r="A15" s="846" t="s">
        <v>800</v>
      </c>
      <c r="B15" s="846"/>
      <c r="C15" s="846"/>
      <c r="D15" s="846"/>
      <c r="E15" s="846"/>
      <c r="F15" s="846"/>
      <c r="G15" s="846"/>
      <c r="H15" s="531"/>
      <c r="I15" s="532">
        <f>I14</f>
        <v>7</v>
      </c>
      <c r="J15" s="130"/>
      <c r="K15" s="132"/>
      <c r="L15" s="132"/>
      <c r="M15" s="523"/>
      <c r="N15" s="516"/>
    </row>
    <row r="16" spans="1:14" ht="20.25" customHeight="1">
      <c r="A16" s="490" t="s">
        <v>38</v>
      </c>
      <c r="B16" s="847" t="s">
        <v>713</v>
      </c>
      <c r="C16" s="852"/>
      <c r="D16" s="852"/>
      <c r="E16" s="852"/>
      <c r="F16" s="852"/>
      <c r="G16" s="852"/>
      <c r="H16" s="852"/>
      <c r="I16" s="852"/>
      <c r="J16" s="130"/>
      <c r="K16" s="853"/>
      <c r="L16" s="853"/>
      <c r="M16" s="523"/>
      <c r="N16" s="516">
        <f t="shared" si="2"/>
        <v>0</v>
      </c>
    </row>
    <row r="17" spans="1:14" s="1" customFormat="1" ht="27" customHeight="1">
      <c r="A17" s="25" t="s">
        <v>60</v>
      </c>
      <c r="B17" s="25" t="s">
        <v>59</v>
      </c>
      <c r="C17" s="848" t="s">
        <v>198</v>
      </c>
      <c r="D17" s="848"/>
      <c r="E17" s="848"/>
      <c r="F17" s="848"/>
      <c r="G17" s="848"/>
      <c r="H17" s="848"/>
      <c r="I17" s="848"/>
      <c r="J17" s="133"/>
      <c r="K17" s="849"/>
      <c r="L17" s="849"/>
      <c r="N17" s="516">
        <f t="shared" si="2"/>
        <v>0</v>
      </c>
    </row>
    <row r="18" spans="1:14" ht="18" customHeight="1" hidden="1">
      <c r="A18" s="85" t="s">
        <v>34</v>
      </c>
      <c r="B18" s="96" t="s">
        <v>13</v>
      </c>
      <c r="C18" s="814" t="s">
        <v>116</v>
      </c>
      <c r="D18" s="814"/>
      <c r="E18" s="850"/>
      <c r="F18" s="850"/>
      <c r="G18" s="850"/>
      <c r="H18" s="850"/>
      <c r="I18" s="850"/>
      <c r="J18" s="130"/>
      <c r="K18" s="801"/>
      <c r="L18" s="801"/>
      <c r="M18" s="523"/>
      <c r="N18" s="516">
        <f t="shared" si="2"/>
        <v>0</v>
      </c>
    </row>
    <row r="19" spans="1:14" s="14" customFormat="1" ht="18.75" customHeight="1" hidden="1">
      <c r="A19" s="97">
        <v>2</v>
      </c>
      <c r="B19" s="98" t="s">
        <v>145</v>
      </c>
      <c r="C19" s="99" t="s">
        <v>232</v>
      </c>
      <c r="D19" s="97" t="s">
        <v>223</v>
      </c>
      <c r="E19" s="101" t="s">
        <v>34</v>
      </c>
      <c r="F19" s="497"/>
      <c r="G19" s="101"/>
      <c r="H19" s="507"/>
      <c r="I19" s="101">
        <f>SUM(E20:E20)</f>
        <v>0.4</v>
      </c>
      <c r="J19" s="342"/>
      <c r="K19" s="43">
        <v>3524.44</v>
      </c>
      <c r="L19" s="43">
        <f>K19*I19</f>
        <v>1409.78</v>
      </c>
      <c r="M19" s="524"/>
      <c r="N19" s="516">
        <f t="shared" si="2"/>
        <v>0</v>
      </c>
    </row>
    <row r="20" spans="1:14" ht="71.25" customHeight="1" hidden="1">
      <c r="A20" s="97"/>
      <c r="B20" s="102"/>
      <c r="C20" s="103" t="s">
        <v>653</v>
      </c>
      <c r="D20" s="104" t="s">
        <v>223</v>
      </c>
      <c r="E20" s="105">
        <f>(205+(452-257))/1000</f>
        <v>0.4</v>
      </c>
      <c r="F20" s="498"/>
      <c r="G20" s="105"/>
      <c r="H20" s="508"/>
      <c r="I20" s="106" t="s">
        <v>34</v>
      </c>
      <c r="J20" s="130"/>
      <c r="K20" s="43"/>
      <c r="L20" s="43"/>
      <c r="M20" s="523"/>
      <c r="N20" s="516">
        <f t="shared" si="2"/>
        <v>0</v>
      </c>
    </row>
    <row r="21" spans="1:14" ht="16.5" customHeight="1" hidden="1">
      <c r="A21" s="85" t="s">
        <v>34</v>
      </c>
      <c r="B21" s="432" t="s">
        <v>552</v>
      </c>
      <c r="C21" s="814" t="s">
        <v>553</v>
      </c>
      <c r="D21" s="814"/>
      <c r="E21" s="850"/>
      <c r="F21" s="850"/>
      <c r="G21" s="850"/>
      <c r="H21" s="850"/>
      <c r="I21" s="850"/>
      <c r="J21" s="130"/>
      <c r="K21" s="43"/>
      <c r="L21" s="43"/>
      <c r="M21" s="523"/>
      <c r="N21" s="516">
        <f t="shared" si="2"/>
        <v>0</v>
      </c>
    </row>
    <row r="22" spans="1:14" ht="19.5" customHeight="1" hidden="1">
      <c r="A22" s="97">
        <v>3</v>
      </c>
      <c r="B22" s="98" t="s">
        <v>555</v>
      </c>
      <c r="C22" s="99" t="s">
        <v>554</v>
      </c>
      <c r="D22" s="97" t="s">
        <v>12</v>
      </c>
      <c r="E22" s="101" t="s">
        <v>34</v>
      </c>
      <c r="F22" s="497"/>
      <c r="G22" s="101"/>
      <c r="H22" s="507"/>
      <c r="I22" s="101">
        <f>SUM(E23:E23)</f>
        <v>6</v>
      </c>
      <c r="J22" s="130"/>
      <c r="K22" s="43"/>
      <c r="L22" s="43"/>
      <c r="M22" s="523"/>
      <c r="N22" s="516">
        <f t="shared" si="2"/>
        <v>0</v>
      </c>
    </row>
    <row r="23" spans="1:14" ht="64.5" customHeight="1" hidden="1">
      <c r="A23" s="97"/>
      <c r="B23" s="102"/>
      <c r="C23" s="103" t="s">
        <v>558</v>
      </c>
      <c r="D23" s="104" t="s">
        <v>12</v>
      </c>
      <c r="E23" s="105">
        <v>6</v>
      </c>
      <c r="F23" s="498"/>
      <c r="G23" s="105"/>
      <c r="H23" s="508"/>
      <c r="I23" s="106" t="s">
        <v>34</v>
      </c>
      <c r="J23" s="130"/>
      <c r="K23" s="43"/>
      <c r="L23" s="43"/>
      <c r="M23" s="523"/>
      <c r="N23" s="516">
        <f t="shared" si="2"/>
        <v>0</v>
      </c>
    </row>
    <row r="24" spans="1:14" ht="19.5" customHeight="1" hidden="1">
      <c r="A24" s="97">
        <v>4</v>
      </c>
      <c r="B24" s="98" t="s">
        <v>556</v>
      </c>
      <c r="C24" s="99" t="s">
        <v>557</v>
      </c>
      <c r="D24" s="97" t="s">
        <v>199</v>
      </c>
      <c r="E24" s="101" t="s">
        <v>34</v>
      </c>
      <c r="F24" s="497"/>
      <c r="G24" s="101"/>
      <c r="H24" s="507"/>
      <c r="I24" s="101">
        <f>SUM(E25:E25)</f>
        <v>12</v>
      </c>
      <c r="J24" s="130"/>
      <c r="K24" s="43"/>
      <c r="L24" s="43"/>
      <c r="M24" s="523"/>
      <c r="N24" s="516">
        <f t="shared" si="2"/>
        <v>0</v>
      </c>
    </row>
    <row r="25" spans="1:14" ht="60.75" customHeight="1" hidden="1">
      <c r="A25" s="97"/>
      <c r="B25" s="102"/>
      <c r="C25" s="103" t="s">
        <v>559</v>
      </c>
      <c r="D25" s="104" t="s">
        <v>200</v>
      </c>
      <c r="E25" s="105">
        <v>12</v>
      </c>
      <c r="F25" s="498"/>
      <c r="G25" s="105"/>
      <c r="H25" s="508"/>
      <c r="I25" s="106" t="s">
        <v>34</v>
      </c>
      <c r="J25" s="130"/>
      <c r="K25" s="43"/>
      <c r="L25" s="43"/>
      <c r="M25" s="523"/>
      <c r="N25" s="516">
        <f t="shared" si="2"/>
        <v>0</v>
      </c>
    </row>
    <row r="26" spans="1:14" ht="18" customHeight="1" hidden="1">
      <c r="A26" s="85" t="s">
        <v>34</v>
      </c>
      <c r="B26" s="85" t="s">
        <v>14</v>
      </c>
      <c r="C26" s="814" t="s">
        <v>117</v>
      </c>
      <c r="D26" s="814"/>
      <c r="E26" s="814"/>
      <c r="F26" s="814"/>
      <c r="G26" s="814"/>
      <c r="H26" s="814"/>
      <c r="I26" s="814"/>
      <c r="J26" s="130"/>
      <c r="K26" s="801"/>
      <c r="L26" s="801"/>
      <c r="M26" s="523"/>
      <c r="N26" s="516">
        <f t="shared" si="2"/>
        <v>0</v>
      </c>
    </row>
    <row r="27" spans="1:14" s="14" customFormat="1" ht="28.5" customHeight="1" hidden="1">
      <c r="A27" s="97">
        <v>5</v>
      </c>
      <c r="B27" s="98" t="s">
        <v>562</v>
      </c>
      <c r="C27" s="99" t="s">
        <v>561</v>
      </c>
      <c r="D27" s="97" t="s">
        <v>199</v>
      </c>
      <c r="E27" s="101" t="s">
        <v>34</v>
      </c>
      <c r="F27" s="497"/>
      <c r="G27" s="101"/>
      <c r="H27" s="507"/>
      <c r="I27" s="101">
        <f>E28</f>
        <v>1400</v>
      </c>
      <c r="J27" s="133"/>
      <c r="K27" s="43">
        <v>0.48</v>
      </c>
      <c r="L27" s="43">
        <f>K27*I27</f>
        <v>672</v>
      </c>
      <c r="M27" s="524"/>
      <c r="N27" s="516">
        <f t="shared" si="2"/>
        <v>0</v>
      </c>
    </row>
    <row r="28" spans="1:14" ht="68.25" customHeight="1" hidden="1">
      <c r="A28" s="97"/>
      <c r="B28" s="102"/>
      <c r="C28" s="103" t="s">
        <v>563</v>
      </c>
      <c r="D28" s="104" t="s">
        <v>200</v>
      </c>
      <c r="E28" s="105">
        <f>(205+(452-257))*3.5</f>
        <v>1400</v>
      </c>
      <c r="F28" s="498"/>
      <c r="G28" s="105"/>
      <c r="H28" s="508"/>
      <c r="I28" s="105" t="s">
        <v>34</v>
      </c>
      <c r="J28" s="130"/>
      <c r="K28" s="43"/>
      <c r="L28" s="43"/>
      <c r="M28" s="523"/>
      <c r="N28" s="516">
        <f t="shared" si="2"/>
        <v>0</v>
      </c>
    </row>
    <row r="29" spans="1:15" ht="31.5" customHeight="1" hidden="1">
      <c r="A29" s="97">
        <v>5</v>
      </c>
      <c r="B29" s="98" t="s">
        <v>295</v>
      </c>
      <c r="C29" s="99" t="s">
        <v>565</v>
      </c>
      <c r="D29" s="97" t="s">
        <v>199</v>
      </c>
      <c r="E29" s="101" t="s">
        <v>34</v>
      </c>
      <c r="F29" s="497"/>
      <c r="G29" s="101"/>
      <c r="H29" s="507"/>
      <c r="I29" s="101">
        <f>E30</f>
        <v>0</v>
      </c>
      <c r="J29" s="130"/>
      <c r="K29" s="43"/>
      <c r="L29" s="43"/>
      <c r="M29" s="523"/>
      <c r="N29" s="516">
        <f t="shared" si="2"/>
        <v>0</v>
      </c>
      <c r="O29" s="391"/>
    </row>
    <row r="30" spans="1:14" ht="61.5" customHeight="1" hidden="1">
      <c r="A30" s="97"/>
      <c r="B30" s="102"/>
      <c r="C30" s="103" t="s">
        <v>566</v>
      </c>
      <c r="D30" s="104" t="s">
        <v>200</v>
      </c>
      <c r="E30" s="105">
        <v>0</v>
      </c>
      <c r="F30" s="542"/>
      <c r="G30" s="105"/>
      <c r="H30" s="508"/>
      <c r="I30" s="105" t="s">
        <v>34</v>
      </c>
      <c r="J30" s="130"/>
      <c r="K30" s="43"/>
      <c r="L30" s="43"/>
      <c r="M30" s="523"/>
      <c r="N30" s="516">
        <f t="shared" si="2"/>
        <v>0</v>
      </c>
    </row>
    <row r="31" spans="1:14" ht="54" customHeight="1">
      <c r="A31" s="85" t="s">
        <v>34</v>
      </c>
      <c r="B31" s="85" t="s">
        <v>15</v>
      </c>
      <c r="C31" s="814" t="s">
        <v>820</v>
      </c>
      <c r="D31" s="814"/>
      <c r="E31" s="851"/>
      <c r="F31" s="814"/>
      <c r="G31" s="814"/>
      <c r="H31" s="814"/>
      <c r="I31" s="814"/>
      <c r="J31" s="130"/>
      <c r="K31" s="801"/>
      <c r="L31" s="801"/>
      <c r="M31" s="523"/>
      <c r="N31" s="516">
        <f t="shared" si="2"/>
        <v>0</v>
      </c>
    </row>
    <row r="32" spans="1:14" ht="18" customHeight="1">
      <c r="A32" s="97">
        <v>2</v>
      </c>
      <c r="B32" s="98" t="s">
        <v>30</v>
      </c>
      <c r="C32" s="99" t="s">
        <v>821</v>
      </c>
      <c r="D32" s="97" t="s">
        <v>199</v>
      </c>
      <c r="E32" s="101" t="s">
        <v>34</v>
      </c>
      <c r="F32" s="496">
        <f aca="true" t="shared" si="3" ref="F32:F53">I32</f>
        <v>624.29</v>
      </c>
      <c r="G32" s="101"/>
      <c r="H32" s="507"/>
      <c r="I32" s="101">
        <f>SUM(E33)</f>
        <v>624.29</v>
      </c>
      <c r="J32" s="130"/>
      <c r="K32" s="489"/>
      <c r="L32" s="546"/>
      <c r="M32" s="548"/>
      <c r="N32" s="516">
        <f t="shared" si="2"/>
        <v>0</v>
      </c>
    </row>
    <row r="33" spans="1:14" ht="72.75" customHeight="1" hidden="1">
      <c r="A33" s="97"/>
      <c r="B33" s="102"/>
      <c r="C33" s="103" t="s">
        <v>765</v>
      </c>
      <c r="D33" s="104" t="s">
        <v>200</v>
      </c>
      <c r="E33" s="105">
        <f>583.45*1.07</f>
        <v>624.29</v>
      </c>
      <c r="F33" s="496" t="str">
        <f t="shared" si="3"/>
        <v>x</v>
      </c>
      <c r="G33" s="105"/>
      <c r="H33" s="508"/>
      <c r="I33" s="105" t="s">
        <v>34</v>
      </c>
      <c r="J33" s="130"/>
      <c r="K33" s="461"/>
      <c r="L33" s="461"/>
      <c r="M33" s="523"/>
      <c r="N33" s="516">
        <f t="shared" si="2"/>
        <v>0</v>
      </c>
    </row>
    <row r="34" spans="1:14" ht="66" hidden="1">
      <c r="A34" s="493" t="s">
        <v>35</v>
      </c>
      <c r="B34" s="94" t="str">
        <f>B32</f>
        <v>01.02.04.11</v>
      </c>
      <c r="C34" s="90" t="s">
        <v>766</v>
      </c>
      <c r="D34" s="91" t="s">
        <v>201</v>
      </c>
      <c r="E34" s="92">
        <f>E33*0.2</f>
        <v>124.86</v>
      </c>
      <c r="F34" s="496">
        <f t="shared" si="3"/>
        <v>124.86</v>
      </c>
      <c r="G34" s="92"/>
      <c r="H34" s="506"/>
      <c r="I34" s="92">
        <f>E34</f>
        <v>124.86</v>
      </c>
      <c r="J34" s="130"/>
      <c r="K34" s="461"/>
      <c r="L34" s="461"/>
      <c r="M34" s="523"/>
      <c r="N34" s="516">
        <f t="shared" si="2"/>
        <v>0</v>
      </c>
    </row>
    <row r="35" spans="1:14" s="14" customFormat="1" ht="19.5" customHeight="1" hidden="1">
      <c r="A35" s="97">
        <v>7</v>
      </c>
      <c r="B35" s="98" t="s">
        <v>119</v>
      </c>
      <c r="C35" s="99" t="s">
        <v>572</v>
      </c>
      <c r="D35" s="97" t="s">
        <v>199</v>
      </c>
      <c r="E35" s="101" t="s">
        <v>34</v>
      </c>
      <c r="F35" s="496">
        <f t="shared" si="3"/>
        <v>191.95</v>
      </c>
      <c r="G35" s="101"/>
      <c r="H35" s="507"/>
      <c r="I35" s="101">
        <f>SUM(E36)</f>
        <v>191.95</v>
      </c>
      <c r="J35" s="133"/>
      <c r="K35" s="43">
        <v>13.88</v>
      </c>
      <c r="L35" s="43">
        <f>K35*I35</f>
        <v>2664.27</v>
      </c>
      <c r="M35" s="524"/>
      <c r="N35" s="516">
        <f t="shared" si="2"/>
        <v>0</v>
      </c>
    </row>
    <row r="36" spans="1:14" ht="33" customHeight="1" hidden="1">
      <c r="A36" s="377"/>
      <c r="B36" s="379"/>
      <c r="C36" s="380" t="s">
        <v>573</v>
      </c>
      <c r="D36" s="381" t="s">
        <v>823</v>
      </c>
      <c r="E36" s="382">
        <f>191.95</f>
        <v>191.95</v>
      </c>
      <c r="F36" s="550" t="str">
        <f t="shared" si="3"/>
        <v>x</v>
      </c>
      <c r="G36" s="105"/>
      <c r="H36" s="508"/>
      <c r="I36" s="105" t="s">
        <v>34</v>
      </c>
      <c r="J36" s="130"/>
      <c r="K36" s="43"/>
      <c r="L36" s="43"/>
      <c r="M36" s="523"/>
      <c r="N36" s="516">
        <f t="shared" si="2"/>
        <v>0</v>
      </c>
    </row>
    <row r="37" spans="1:180" s="15" customFormat="1" ht="40.5" customHeight="1" hidden="1">
      <c r="A37" s="551" t="s">
        <v>146</v>
      </c>
      <c r="B37" s="386" t="str">
        <f>B35</f>
        <v>01.02.04.21</v>
      </c>
      <c r="C37" s="387" t="s">
        <v>574</v>
      </c>
      <c r="D37" s="388" t="s">
        <v>824</v>
      </c>
      <c r="E37" s="389">
        <f>E36*0.15</f>
        <v>28.79</v>
      </c>
      <c r="F37" s="550">
        <f t="shared" si="3"/>
        <v>28.79</v>
      </c>
      <c r="G37" s="92"/>
      <c r="H37" s="506"/>
      <c r="I37" s="92">
        <f>0.15*I35</f>
        <v>28.79</v>
      </c>
      <c r="J37" s="107"/>
      <c r="K37" s="45"/>
      <c r="L37" s="45"/>
      <c r="M37" s="8"/>
      <c r="N37" s="516">
        <f t="shared" si="2"/>
        <v>0</v>
      </c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</row>
    <row r="38" spans="1:180" s="15" customFormat="1" ht="20.25" customHeight="1">
      <c r="A38" s="377">
        <v>3</v>
      </c>
      <c r="B38" s="135" t="s">
        <v>31</v>
      </c>
      <c r="C38" s="376" t="s">
        <v>575</v>
      </c>
      <c r="D38" s="377" t="s">
        <v>822</v>
      </c>
      <c r="E38" s="272" t="s">
        <v>34</v>
      </c>
      <c r="F38" s="550">
        <f t="shared" si="3"/>
        <v>53.22</v>
      </c>
      <c r="G38" s="101"/>
      <c r="H38" s="507"/>
      <c r="I38" s="101">
        <f>SUM(E39)</f>
        <v>53.22</v>
      </c>
      <c r="J38" s="107"/>
      <c r="K38" s="45"/>
      <c r="L38" s="45"/>
      <c r="M38" s="8"/>
      <c r="N38" s="516">
        <f t="shared" si="2"/>
        <v>0</v>
      </c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</row>
    <row r="39" spans="1:180" s="15" customFormat="1" ht="45.75" customHeight="1" hidden="1">
      <c r="A39" s="97"/>
      <c r="B39" s="102"/>
      <c r="C39" s="103" t="s">
        <v>759</v>
      </c>
      <c r="D39" s="104" t="s">
        <v>200</v>
      </c>
      <c r="E39" s="105">
        <f>'1.2.3. Zjazdy indywidualne'!N26-'1.2.3. Zjazdy indywidualne'!N24</f>
        <v>53.22</v>
      </c>
      <c r="F39" s="550" t="str">
        <f t="shared" si="3"/>
        <v>x</v>
      </c>
      <c r="G39" s="105"/>
      <c r="H39" s="507"/>
      <c r="I39" s="105" t="s">
        <v>34</v>
      </c>
      <c r="J39" s="107"/>
      <c r="K39" s="45"/>
      <c r="L39" s="45"/>
      <c r="M39" s="8"/>
      <c r="N39" s="516">
        <f t="shared" si="2"/>
        <v>0</v>
      </c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</row>
    <row r="40" spans="1:180" s="15" customFormat="1" ht="39.75" customHeight="1" hidden="1">
      <c r="A40" s="493" t="s">
        <v>147</v>
      </c>
      <c r="B40" s="94" t="str">
        <f>B38</f>
        <v>01.02.04.22</v>
      </c>
      <c r="C40" s="90" t="s">
        <v>760</v>
      </c>
      <c r="D40" s="91" t="s">
        <v>201</v>
      </c>
      <c r="E40" s="389">
        <f>E39*0.05</f>
        <v>2.66</v>
      </c>
      <c r="F40" s="496">
        <f t="shared" si="3"/>
        <v>2.66</v>
      </c>
      <c r="G40" s="92"/>
      <c r="H40" s="507"/>
      <c r="I40" s="92">
        <f>E40</f>
        <v>2.66</v>
      </c>
      <c r="J40" s="107"/>
      <c r="K40" s="45"/>
      <c r="L40" s="45"/>
      <c r="M40" s="8"/>
      <c r="N40" s="516">
        <f t="shared" si="2"/>
        <v>0</v>
      </c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</row>
    <row r="41" spans="1:180" s="15" customFormat="1" ht="18" customHeight="1">
      <c r="A41" s="97">
        <v>4</v>
      </c>
      <c r="B41" s="98" t="s">
        <v>149</v>
      </c>
      <c r="C41" s="99" t="s">
        <v>578</v>
      </c>
      <c r="D41" s="97" t="s">
        <v>199</v>
      </c>
      <c r="E41" s="272" t="s">
        <v>34</v>
      </c>
      <c r="F41" s="496">
        <f t="shared" si="3"/>
        <v>624.29</v>
      </c>
      <c r="G41" s="101"/>
      <c r="H41" s="507"/>
      <c r="I41" s="101">
        <f>SUM(E42)</f>
        <v>624.29</v>
      </c>
      <c r="J41" s="107"/>
      <c r="K41" s="45"/>
      <c r="L41" s="45"/>
      <c r="M41" s="8"/>
      <c r="N41" s="516">
        <f t="shared" si="2"/>
        <v>0</v>
      </c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</row>
    <row r="42" spans="1:180" s="15" customFormat="1" ht="87.75" customHeight="1" hidden="1">
      <c r="A42" s="97"/>
      <c r="B42" s="102"/>
      <c r="C42" s="103" t="s">
        <v>796</v>
      </c>
      <c r="D42" s="104" t="s">
        <v>200</v>
      </c>
      <c r="E42" s="105">
        <v>624.29</v>
      </c>
      <c r="F42" s="496" t="str">
        <f t="shared" si="3"/>
        <v>x</v>
      </c>
      <c r="G42" s="105"/>
      <c r="H42" s="507"/>
      <c r="I42" s="105" t="s">
        <v>34</v>
      </c>
      <c r="J42" s="107"/>
      <c r="K42" s="45"/>
      <c r="L42" s="45"/>
      <c r="M42" s="8"/>
      <c r="N42" s="516">
        <f t="shared" si="2"/>
        <v>0</v>
      </c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</row>
    <row r="43" spans="1:180" s="15" customFormat="1" ht="73.5" customHeight="1" hidden="1">
      <c r="A43" s="493" t="s">
        <v>148</v>
      </c>
      <c r="B43" s="94" t="str">
        <f>B41</f>
        <v>01.02.04.24</v>
      </c>
      <c r="C43" s="90" t="s">
        <v>767</v>
      </c>
      <c r="D43" s="91" t="s">
        <v>201</v>
      </c>
      <c r="E43" s="92">
        <f>E42*0.06</f>
        <v>37.46</v>
      </c>
      <c r="F43" s="496">
        <f t="shared" si="3"/>
        <v>37.46</v>
      </c>
      <c r="G43" s="92"/>
      <c r="H43" s="507"/>
      <c r="I43" s="92">
        <f>E43</f>
        <v>37.46</v>
      </c>
      <c r="J43" s="107"/>
      <c r="K43" s="45"/>
      <c r="L43" s="45"/>
      <c r="M43" s="8"/>
      <c r="N43" s="516">
        <f t="shared" si="2"/>
        <v>0</v>
      </c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</row>
    <row r="44" spans="1:180" s="15" customFormat="1" ht="21" customHeight="1" hidden="1">
      <c r="A44" s="97">
        <v>10</v>
      </c>
      <c r="B44" s="98" t="s">
        <v>581</v>
      </c>
      <c r="C44" s="99" t="s">
        <v>582</v>
      </c>
      <c r="D44" s="97" t="s">
        <v>199</v>
      </c>
      <c r="E44" s="101" t="s">
        <v>34</v>
      </c>
      <c r="F44" s="496">
        <f t="shared" si="3"/>
        <v>18</v>
      </c>
      <c r="G44" s="101"/>
      <c r="H44" s="507"/>
      <c r="I44" s="101">
        <f>SUM(E45)</f>
        <v>18</v>
      </c>
      <c r="J44" s="107"/>
      <c r="K44" s="45"/>
      <c r="L44" s="45"/>
      <c r="M44" s="8"/>
      <c r="N44" s="516">
        <f t="shared" si="2"/>
        <v>0</v>
      </c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</row>
    <row r="45" spans="1:180" s="15" customFormat="1" ht="42.75" customHeight="1" hidden="1">
      <c r="A45" s="97"/>
      <c r="B45" s="102"/>
      <c r="C45" s="103" t="s">
        <v>583</v>
      </c>
      <c r="D45" s="104" t="s">
        <v>200</v>
      </c>
      <c r="E45" s="105">
        <f>18</f>
        <v>18</v>
      </c>
      <c r="F45" s="550" t="str">
        <f t="shared" si="3"/>
        <v>x</v>
      </c>
      <c r="G45" s="105"/>
      <c r="H45" s="507"/>
      <c r="I45" s="105" t="s">
        <v>34</v>
      </c>
      <c r="J45" s="107"/>
      <c r="K45" s="45"/>
      <c r="L45" s="45"/>
      <c r="M45" s="8"/>
      <c r="N45" s="516">
        <f t="shared" si="2"/>
        <v>0</v>
      </c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</row>
    <row r="46" spans="1:180" s="15" customFormat="1" ht="38.25" customHeight="1" hidden="1">
      <c r="A46" s="493" t="s">
        <v>36</v>
      </c>
      <c r="B46" s="94" t="str">
        <f>B44</f>
        <v>01.02.04.23</v>
      </c>
      <c r="C46" s="90" t="s">
        <v>584</v>
      </c>
      <c r="D46" s="91" t="s">
        <v>201</v>
      </c>
      <c r="E46" s="389">
        <f>E45*0.1</f>
        <v>1.8</v>
      </c>
      <c r="F46" s="496">
        <f t="shared" si="3"/>
        <v>1.8</v>
      </c>
      <c r="G46" s="92"/>
      <c r="H46" s="507"/>
      <c r="I46" s="92">
        <f>E46</f>
        <v>1.8</v>
      </c>
      <c r="J46" s="107"/>
      <c r="K46" s="45"/>
      <c r="L46" s="45"/>
      <c r="M46" s="8"/>
      <c r="N46" s="516">
        <f t="shared" si="2"/>
        <v>0</v>
      </c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</row>
    <row r="47" spans="1:180" s="15" customFormat="1" ht="21" customHeight="1">
      <c r="A47" s="97">
        <v>5</v>
      </c>
      <c r="B47" s="98" t="s">
        <v>585</v>
      </c>
      <c r="C47" s="99" t="s">
        <v>762</v>
      </c>
      <c r="D47" s="97" t="s">
        <v>11</v>
      </c>
      <c r="E47" s="101" t="s">
        <v>34</v>
      </c>
      <c r="F47" s="496">
        <f t="shared" si="3"/>
        <v>713</v>
      </c>
      <c r="G47" s="101"/>
      <c r="H47" s="507"/>
      <c r="I47" s="101">
        <f>SUM(E48)</f>
        <v>713</v>
      </c>
      <c r="J47" s="107"/>
      <c r="K47" s="45"/>
      <c r="L47" s="45"/>
      <c r="M47" s="8"/>
      <c r="N47" s="516">
        <f t="shared" si="2"/>
        <v>0</v>
      </c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</row>
    <row r="48" spans="1:180" s="15" customFormat="1" ht="90.75" customHeight="1" hidden="1">
      <c r="A48" s="97"/>
      <c r="B48" s="379"/>
      <c r="C48" s="103" t="s">
        <v>769</v>
      </c>
      <c r="D48" s="104" t="s">
        <v>11</v>
      </c>
      <c r="E48" s="105">
        <v>713</v>
      </c>
      <c r="F48" s="496" t="str">
        <f t="shared" si="3"/>
        <v>x</v>
      </c>
      <c r="G48" s="105"/>
      <c r="H48" s="507"/>
      <c r="I48" s="105" t="s">
        <v>34</v>
      </c>
      <c r="J48" s="107"/>
      <c r="K48" s="45"/>
      <c r="L48" s="45"/>
      <c r="M48" s="8"/>
      <c r="N48" s="516">
        <f t="shared" si="2"/>
        <v>0</v>
      </c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</row>
    <row r="49" spans="1:180" s="15" customFormat="1" ht="69" customHeight="1" hidden="1">
      <c r="A49" s="493" t="s">
        <v>151</v>
      </c>
      <c r="B49" s="94" t="str">
        <f>B47</f>
        <v>01.02.04.41</v>
      </c>
      <c r="C49" s="90" t="s">
        <v>768</v>
      </c>
      <c r="D49" s="91" t="s">
        <v>201</v>
      </c>
      <c r="E49" s="92">
        <f>E48*0.3*0.15</f>
        <v>32.09</v>
      </c>
      <c r="F49" s="496">
        <f t="shared" si="3"/>
        <v>32.09</v>
      </c>
      <c r="G49" s="92"/>
      <c r="H49" s="507"/>
      <c r="I49" s="92">
        <f>E49</f>
        <v>32.09</v>
      </c>
      <c r="J49" s="107"/>
      <c r="K49" s="45"/>
      <c r="L49" s="45"/>
      <c r="M49" s="8"/>
      <c r="N49" s="516">
        <f t="shared" si="2"/>
        <v>0</v>
      </c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</row>
    <row r="50" spans="1:180" s="15" customFormat="1" ht="18.75" customHeight="1">
      <c r="A50" s="97">
        <v>6</v>
      </c>
      <c r="B50" s="98" t="s">
        <v>32</v>
      </c>
      <c r="C50" s="99" t="s">
        <v>153</v>
      </c>
      <c r="D50" s="97" t="s">
        <v>9</v>
      </c>
      <c r="E50" s="101" t="s">
        <v>34</v>
      </c>
      <c r="F50" s="496">
        <f t="shared" si="3"/>
        <v>3</v>
      </c>
      <c r="G50" s="101"/>
      <c r="H50" s="507"/>
      <c r="I50" s="101">
        <f>SUM(E51)</f>
        <v>3</v>
      </c>
      <c r="J50" s="107"/>
      <c r="K50" s="45"/>
      <c r="L50" s="45"/>
      <c r="M50" s="8"/>
      <c r="N50" s="516">
        <f t="shared" si="2"/>
        <v>0</v>
      </c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</row>
    <row r="51" spans="1:180" s="15" customFormat="1" ht="40.5" customHeight="1" hidden="1">
      <c r="A51" s="493"/>
      <c r="B51" s="94"/>
      <c r="C51" s="90" t="s">
        <v>761</v>
      </c>
      <c r="D51" s="91" t="s">
        <v>9</v>
      </c>
      <c r="E51" s="92">
        <v>3</v>
      </c>
      <c r="F51" s="496" t="str">
        <f t="shared" si="3"/>
        <v>x</v>
      </c>
      <c r="G51" s="92"/>
      <c r="H51" s="507"/>
      <c r="I51" s="92" t="s">
        <v>34</v>
      </c>
      <c r="J51" s="107"/>
      <c r="K51" s="45"/>
      <c r="L51" s="45"/>
      <c r="M51" s="8"/>
      <c r="N51" s="516">
        <f t="shared" si="2"/>
        <v>0</v>
      </c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</row>
    <row r="52" spans="1:181" s="15" customFormat="1" ht="18" customHeight="1">
      <c r="A52" s="97">
        <v>7</v>
      </c>
      <c r="B52" s="98" t="s">
        <v>121</v>
      </c>
      <c r="C52" s="99" t="s">
        <v>154</v>
      </c>
      <c r="D52" s="97" t="s">
        <v>9</v>
      </c>
      <c r="E52" s="101" t="s">
        <v>34</v>
      </c>
      <c r="F52" s="496">
        <f t="shared" si="3"/>
        <v>5</v>
      </c>
      <c r="G52" s="101"/>
      <c r="H52" s="507"/>
      <c r="I52" s="101">
        <f>SUM(E53)</f>
        <v>5</v>
      </c>
      <c r="J52" s="107"/>
      <c r="K52" s="45"/>
      <c r="L52" s="45"/>
      <c r="M52" s="81"/>
      <c r="N52" s="516">
        <f t="shared" si="2"/>
        <v>0</v>
      </c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</row>
    <row r="53" spans="1:180" s="15" customFormat="1" ht="32.25" customHeight="1" hidden="1">
      <c r="A53" s="493"/>
      <c r="B53" s="94"/>
      <c r="C53" s="90" t="s">
        <v>721</v>
      </c>
      <c r="D53" s="91" t="s">
        <v>9</v>
      </c>
      <c r="E53" s="92">
        <v>5</v>
      </c>
      <c r="F53" s="496" t="str">
        <f t="shared" si="3"/>
        <v>x</v>
      </c>
      <c r="G53" s="92"/>
      <c r="H53" s="506"/>
      <c r="I53" s="92" t="s">
        <v>34</v>
      </c>
      <c r="J53" s="107"/>
      <c r="K53" s="45"/>
      <c r="L53" s="45"/>
      <c r="M53" s="8"/>
      <c r="N53" s="516">
        <f t="shared" si="2"/>
        <v>0</v>
      </c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</row>
    <row r="54" spans="1:180" s="15" customFormat="1" ht="19.5" customHeight="1" hidden="1">
      <c r="A54" s="97">
        <v>16</v>
      </c>
      <c r="B54" s="98" t="s">
        <v>156</v>
      </c>
      <c r="C54" s="99" t="s">
        <v>249</v>
      </c>
      <c r="D54" s="97" t="s">
        <v>202</v>
      </c>
      <c r="E54" s="101" t="s">
        <v>34</v>
      </c>
      <c r="F54" s="497"/>
      <c r="G54" s="101"/>
      <c r="H54" s="507"/>
      <c r="I54" s="101">
        <f>SUM(E55)</f>
        <v>6.64</v>
      </c>
      <c r="J54" s="107"/>
      <c r="K54" s="45"/>
      <c r="L54" s="45"/>
      <c r="M54" s="8"/>
      <c r="N54" s="516">
        <f t="shared" si="2"/>
        <v>0</v>
      </c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</row>
    <row r="55" spans="1:180" s="15" customFormat="1" ht="45" customHeight="1" hidden="1">
      <c r="A55" s="493"/>
      <c r="B55" s="94"/>
      <c r="C55" s="90" t="s">
        <v>600</v>
      </c>
      <c r="D55" s="91" t="s">
        <v>201</v>
      </c>
      <c r="E55" s="92">
        <f>6.64</f>
        <v>6.64</v>
      </c>
      <c r="F55" s="499"/>
      <c r="G55" s="92"/>
      <c r="H55" s="506"/>
      <c r="I55" s="92" t="s">
        <v>34</v>
      </c>
      <c r="J55" s="107"/>
      <c r="K55" s="45"/>
      <c r="L55" s="45"/>
      <c r="M55" s="8"/>
      <c r="N55" s="516">
        <f t="shared" si="2"/>
        <v>0</v>
      </c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</row>
    <row r="56" spans="1:144" s="15" customFormat="1" ht="27" customHeight="1" hidden="1">
      <c r="A56" s="25" t="s">
        <v>62</v>
      </c>
      <c r="B56" s="25" t="s">
        <v>122</v>
      </c>
      <c r="C56" s="848" t="s">
        <v>213</v>
      </c>
      <c r="D56" s="848"/>
      <c r="E56" s="848"/>
      <c r="F56" s="848"/>
      <c r="G56" s="848"/>
      <c r="H56" s="848"/>
      <c r="I56" s="848"/>
      <c r="J56" s="107"/>
      <c r="K56" s="45"/>
      <c r="L56" s="45"/>
      <c r="M56" s="8"/>
      <c r="N56" s="516">
        <f t="shared" si="2"/>
        <v>0</v>
      </c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1:144" s="15" customFormat="1" ht="20.25" customHeight="1" hidden="1">
      <c r="A57" s="85" t="s">
        <v>34</v>
      </c>
      <c r="B57" s="85" t="s">
        <v>157</v>
      </c>
      <c r="C57" s="814" t="s">
        <v>162</v>
      </c>
      <c r="D57" s="814"/>
      <c r="E57" s="814"/>
      <c r="F57" s="814"/>
      <c r="G57" s="814"/>
      <c r="H57" s="814"/>
      <c r="I57" s="814"/>
      <c r="J57" s="107"/>
      <c r="K57" s="45"/>
      <c r="L57" s="45"/>
      <c r="M57" s="8"/>
      <c r="N57" s="516">
        <f t="shared" si="2"/>
        <v>0</v>
      </c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1:144" s="15" customFormat="1" ht="27" customHeight="1" hidden="1">
      <c r="A58" s="97">
        <v>17</v>
      </c>
      <c r="B58" s="87" t="s">
        <v>158</v>
      </c>
      <c r="C58" s="108" t="s">
        <v>159</v>
      </c>
      <c r="D58" s="97" t="s">
        <v>202</v>
      </c>
      <c r="E58" s="101" t="s">
        <v>34</v>
      </c>
      <c r="F58" s="497"/>
      <c r="G58" s="101"/>
      <c r="H58" s="507"/>
      <c r="I58" s="101">
        <f>E59</f>
        <v>0</v>
      </c>
      <c r="J58" s="107"/>
      <c r="K58" s="45"/>
      <c r="L58" s="45"/>
      <c r="M58" s="8"/>
      <c r="N58" s="516">
        <f t="shared" si="2"/>
        <v>0</v>
      </c>
      <c r="O58" s="392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1:144" s="15" customFormat="1" ht="46.5" customHeight="1" hidden="1">
      <c r="A59" s="97"/>
      <c r="B59" s="98"/>
      <c r="C59" s="103" t="s">
        <v>601</v>
      </c>
      <c r="D59" s="104" t="s">
        <v>201</v>
      </c>
      <c r="E59" s="105">
        <v>0</v>
      </c>
      <c r="F59" s="498"/>
      <c r="G59" s="105"/>
      <c r="H59" s="508"/>
      <c r="I59" s="101" t="s">
        <v>34</v>
      </c>
      <c r="J59" s="107"/>
      <c r="K59" s="45"/>
      <c r="L59" s="45"/>
      <c r="M59" s="8"/>
      <c r="N59" s="516">
        <f t="shared" si="2"/>
        <v>0</v>
      </c>
      <c r="O59" s="8"/>
      <c r="P59" s="8"/>
      <c r="Q59" s="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1:144" s="15" customFormat="1" ht="20.25" customHeight="1" hidden="1">
      <c r="A60" s="97">
        <v>18</v>
      </c>
      <c r="B60" s="87" t="s">
        <v>160</v>
      </c>
      <c r="C60" s="108" t="s">
        <v>161</v>
      </c>
      <c r="D60" s="97" t="s">
        <v>202</v>
      </c>
      <c r="E60" s="101" t="s">
        <v>34</v>
      </c>
      <c r="F60" s="497"/>
      <c r="G60" s="101"/>
      <c r="H60" s="507"/>
      <c r="I60" s="101">
        <f>E61</f>
        <v>0</v>
      </c>
      <c r="J60" s="107"/>
      <c r="K60" s="45"/>
      <c r="L60" s="45"/>
      <c r="M60" s="8"/>
      <c r="N60" s="516">
        <f t="shared" si="2"/>
        <v>0</v>
      </c>
      <c r="O60" s="392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1:144" s="15" customFormat="1" ht="74.25" customHeight="1" hidden="1">
      <c r="A61" s="97"/>
      <c r="B61" s="98"/>
      <c r="C61" s="103" t="s">
        <v>602</v>
      </c>
      <c r="D61" s="104" t="s">
        <v>201</v>
      </c>
      <c r="E61" s="105">
        <v>0</v>
      </c>
      <c r="F61" s="498"/>
      <c r="G61" s="105"/>
      <c r="H61" s="508"/>
      <c r="I61" s="101" t="s">
        <v>34</v>
      </c>
      <c r="J61" s="107"/>
      <c r="K61" s="45"/>
      <c r="L61" s="45"/>
      <c r="M61" s="8"/>
      <c r="N61" s="516">
        <f t="shared" si="2"/>
        <v>0</v>
      </c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1:14" s="14" customFormat="1" ht="18" customHeight="1" hidden="1">
      <c r="A62" s="85" t="s">
        <v>34</v>
      </c>
      <c r="B62" s="85" t="s">
        <v>75</v>
      </c>
      <c r="C62" s="814" t="s">
        <v>76</v>
      </c>
      <c r="D62" s="814"/>
      <c r="E62" s="814"/>
      <c r="F62" s="814"/>
      <c r="G62" s="814"/>
      <c r="H62" s="814"/>
      <c r="I62" s="814"/>
      <c r="J62" s="133"/>
      <c r="K62" s="43">
        <v>350</v>
      </c>
      <c r="L62" s="43" t="e">
        <f>K62*#REF!</f>
        <v>#REF!</v>
      </c>
      <c r="M62" s="8"/>
      <c r="N62" s="516">
        <f t="shared" si="2"/>
        <v>0</v>
      </c>
    </row>
    <row r="63" spans="1:15" s="14" customFormat="1" ht="19.5" customHeight="1" hidden="1">
      <c r="A63" s="494">
        <v>19</v>
      </c>
      <c r="B63" s="87" t="s">
        <v>163</v>
      </c>
      <c r="C63" s="136" t="s">
        <v>164</v>
      </c>
      <c r="D63" s="109" t="s">
        <v>202</v>
      </c>
      <c r="E63" s="110" t="s">
        <v>34</v>
      </c>
      <c r="F63" s="45"/>
      <c r="G63" s="110"/>
      <c r="H63" s="507"/>
      <c r="I63" s="110">
        <f>E64</f>
        <v>0</v>
      </c>
      <c r="J63" s="133"/>
      <c r="K63" s="43"/>
      <c r="L63" s="43"/>
      <c r="M63" s="8"/>
      <c r="N63" s="516">
        <f t="shared" si="2"/>
        <v>0</v>
      </c>
      <c r="O63" s="393"/>
    </row>
    <row r="64" spans="1:14" s="14" customFormat="1" ht="33" customHeight="1" hidden="1">
      <c r="A64" s="494"/>
      <c r="B64" s="98"/>
      <c r="C64" s="137" t="s">
        <v>603</v>
      </c>
      <c r="D64" s="104" t="s">
        <v>201</v>
      </c>
      <c r="E64" s="105">
        <f>E59</f>
        <v>0</v>
      </c>
      <c r="F64" s="498"/>
      <c r="G64" s="105"/>
      <c r="H64" s="508"/>
      <c r="I64" s="105" t="s">
        <v>34</v>
      </c>
      <c r="J64" s="133"/>
      <c r="K64" s="43"/>
      <c r="L64" s="43"/>
      <c r="M64" s="8"/>
      <c r="N64" s="516">
        <f t="shared" si="2"/>
        <v>0</v>
      </c>
    </row>
    <row r="65" spans="1:15" s="14" customFormat="1" ht="27.75" customHeight="1" hidden="1">
      <c r="A65" s="494">
        <v>20</v>
      </c>
      <c r="B65" s="87" t="s">
        <v>163</v>
      </c>
      <c r="C65" s="136" t="s">
        <v>604</v>
      </c>
      <c r="D65" s="109" t="s">
        <v>202</v>
      </c>
      <c r="E65" s="110" t="s">
        <v>34</v>
      </c>
      <c r="F65" s="45"/>
      <c r="G65" s="110"/>
      <c r="H65" s="507"/>
      <c r="I65" s="110">
        <f>E66</f>
        <v>0</v>
      </c>
      <c r="J65" s="133"/>
      <c r="K65" s="43"/>
      <c r="L65" s="43"/>
      <c r="M65" s="8"/>
      <c r="N65" s="516">
        <f t="shared" si="2"/>
        <v>0</v>
      </c>
      <c r="O65" s="393"/>
    </row>
    <row r="66" spans="1:14" s="14" customFormat="1" ht="42" customHeight="1" hidden="1">
      <c r="A66" s="494"/>
      <c r="B66" s="98"/>
      <c r="C66" s="137" t="s">
        <v>605</v>
      </c>
      <c r="D66" s="104" t="s">
        <v>201</v>
      </c>
      <c r="E66" s="105">
        <f>E61</f>
        <v>0</v>
      </c>
      <c r="F66" s="498"/>
      <c r="G66" s="105"/>
      <c r="H66" s="508"/>
      <c r="I66" s="105" t="s">
        <v>34</v>
      </c>
      <c r="J66" s="133"/>
      <c r="K66" s="43"/>
      <c r="L66" s="43"/>
      <c r="M66" s="8"/>
      <c r="N66" s="516">
        <f aca="true" t="shared" si="4" ref="N66:N129">H66</f>
        <v>0</v>
      </c>
    </row>
    <row r="67" spans="1:14" s="3" customFormat="1" ht="32.25" customHeight="1" hidden="1">
      <c r="A67" s="25" t="s">
        <v>52</v>
      </c>
      <c r="B67" s="25" t="s">
        <v>123</v>
      </c>
      <c r="C67" s="848" t="s">
        <v>203</v>
      </c>
      <c r="D67" s="848"/>
      <c r="E67" s="848"/>
      <c r="F67" s="848"/>
      <c r="G67" s="848"/>
      <c r="H67" s="848"/>
      <c r="I67" s="848"/>
      <c r="J67" s="130"/>
      <c r="K67" s="44"/>
      <c r="L67" s="44"/>
      <c r="M67" s="1"/>
      <c r="N67" s="516">
        <f t="shared" si="4"/>
        <v>0</v>
      </c>
    </row>
    <row r="68" spans="1:14" s="3" customFormat="1" ht="18" customHeight="1" hidden="1">
      <c r="A68" s="85" t="s">
        <v>34</v>
      </c>
      <c r="B68" s="85" t="s">
        <v>165</v>
      </c>
      <c r="C68" s="814" t="s">
        <v>166</v>
      </c>
      <c r="D68" s="814"/>
      <c r="E68" s="814"/>
      <c r="F68" s="814"/>
      <c r="G68" s="814"/>
      <c r="H68" s="814"/>
      <c r="I68" s="814"/>
      <c r="J68" s="130"/>
      <c r="K68" s="44"/>
      <c r="L68" s="44"/>
      <c r="M68" s="1"/>
      <c r="N68" s="516">
        <f t="shared" si="4"/>
        <v>0</v>
      </c>
    </row>
    <row r="69" spans="1:14" s="3" customFormat="1" ht="19.5" customHeight="1" hidden="1">
      <c r="A69" s="494">
        <v>18</v>
      </c>
      <c r="B69" s="87" t="s">
        <v>167</v>
      </c>
      <c r="C69" s="136" t="s">
        <v>168</v>
      </c>
      <c r="D69" s="109" t="s">
        <v>11</v>
      </c>
      <c r="E69" s="110" t="s">
        <v>34</v>
      </c>
      <c r="F69" s="45"/>
      <c r="G69" s="110"/>
      <c r="H69" s="507"/>
      <c r="I69" s="110">
        <f>E70</f>
        <v>2</v>
      </c>
      <c r="J69" s="130"/>
      <c r="K69" s="44"/>
      <c r="L69" s="44"/>
      <c r="M69" s="1"/>
      <c r="N69" s="516">
        <f t="shared" si="4"/>
        <v>0</v>
      </c>
    </row>
    <row r="70" spans="1:14" s="3" customFormat="1" ht="69" customHeight="1" hidden="1">
      <c r="A70" s="494"/>
      <c r="B70" s="98"/>
      <c r="C70" s="137" t="s">
        <v>453</v>
      </c>
      <c r="D70" s="104" t="s">
        <v>11</v>
      </c>
      <c r="E70" s="105">
        <f>2</f>
        <v>2</v>
      </c>
      <c r="F70" s="498"/>
      <c r="G70" s="105"/>
      <c r="H70" s="508"/>
      <c r="I70" s="105" t="s">
        <v>34</v>
      </c>
      <c r="J70" s="130"/>
      <c r="K70" s="44"/>
      <c r="L70" s="44"/>
      <c r="M70" s="1"/>
      <c r="N70" s="516">
        <f t="shared" si="4"/>
        <v>0</v>
      </c>
    </row>
    <row r="71" spans="1:14" s="3" customFormat="1" ht="18" customHeight="1" hidden="1">
      <c r="A71" s="493" t="s">
        <v>301</v>
      </c>
      <c r="B71" s="94" t="str">
        <f>B69</f>
        <v>03.01.01.11</v>
      </c>
      <c r="C71" s="90" t="s">
        <v>169</v>
      </c>
      <c r="D71" s="91" t="s">
        <v>34</v>
      </c>
      <c r="E71" s="92" t="s">
        <v>34</v>
      </c>
      <c r="F71" s="499"/>
      <c r="G71" s="92"/>
      <c r="H71" s="506"/>
      <c r="I71" s="92" t="s">
        <v>34</v>
      </c>
      <c r="J71" s="130"/>
      <c r="K71" s="44"/>
      <c r="L71" s="44"/>
      <c r="M71" s="1"/>
      <c r="N71" s="516">
        <f t="shared" si="4"/>
        <v>0</v>
      </c>
    </row>
    <row r="72" spans="1:14" s="3" customFormat="1" ht="17.25" customHeight="1" hidden="1">
      <c r="A72" s="111"/>
      <c r="B72" s="195"/>
      <c r="C72" s="196" t="s">
        <v>254</v>
      </c>
      <c r="D72" s="197" t="s">
        <v>300</v>
      </c>
      <c r="E72" s="198">
        <f>0.66*2</f>
        <v>1.32</v>
      </c>
      <c r="F72" s="500"/>
      <c r="G72" s="198"/>
      <c r="H72" s="509"/>
      <c r="I72" s="198">
        <f>E72</f>
        <v>1.32</v>
      </c>
      <c r="J72" s="130"/>
      <c r="K72" s="44"/>
      <c r="L72" s="44"/>
      <c r="M72" s="1"/>
      <c r="N72" s="516">
        <f t="shared" si="4"/>
        <v>0</v>
      </c>
    </row>
    <row r="73" spans="1:14" s="3" customFormat="1" ht="27" customHeight="1" hidden="1">
      <c r="A73" s="109"/>
      <c r="B73" s="195"/>
      <c r="C73" s="199" t="s">
        <v>253</v>
      </c>
      <c r="D73" s="197" t="s">
        <v>300</v>
      </c>
      <c r="E73" s="198">
        <f>2*0.13</f>
        <v>0.26</v>
      </c>
      <c r="F73" s="500"/>
      <c r="G73" s="198"/>
      <c r="H73" s="509"/>
      <c r="I73" s="198">
        <f>E73</f>
        <v>0.26</v>
      </c>
      <c r="J73" s="130"/>
      <c r="K73" s="44"/>
      <c r="L73" s="44"/>
      <c r="M73" s="1"/>
      <c r="N73" s="516">
        <f t="shared" si="4"/>
        <v>0</v>
      </c>
    </row>
    <row r="74" spans="1:14" s="3" customFormat="1" ht="20.25" customHeight="1" hidden="1">
      <c r="A74" s="109"/>
      <c r="B74" s="195"/>
      <c r="C74" s="196" t="s">
        <v>255</v>
      </c>
      <c r="D74" s="197" t="s">
        <v>300</v>
      </c>
      <c r="E74" s="198">
        <f>0.66</f>
        <v>0.66</v>
      </c>
      <c r="F74" s="500"/>
      <c r="G74" s="198"/>
      <c r="H74" s="509"/>
      <c r="I74" s="198">
        <f>E74</f>
        <v>0.66</v>
      </c>
      <c r="J74" s="130"/>
      <c r="K74" s="44"/>
      <c r="L74" s="44"/>
      <c r="M74" s="1"/>
      <c r="N74" s="516">
        <f t="shared" si="4"/>
        <v>0</v>
      </c>
    </row>
    <row r="75" spans="1:14" s="3" customFormat="1" ht="19.5" customHeight="1" hidden="1">
      <c r="A75" s="85" t="s">
        <v>34</v>
      </c>
      <c r="B75" s="85" t="s">
        <v>170</v>
      </c>
      <c r="C75" s="814" t="s">
        <v>171</v>
      </c>
      <c r="D75" s="814"/>
      <c r="E75" s="814"/>
      <c r="F75" s="814"/>
      <c r="G75" s="814"/>
      <c r="H75" s="814"/>
      <c r="I75" s="814"/>
      <c r="J75" s="130"/>
      <c r="K75" s="44"/>
      <c r="L75" s="44"/>
      <c r="M75" s="1"/>
      <c r="N75" s="516">
        <f t="shared" si="4"/>
        <v>0</v>
      </c>
    </row>
    <row r="76" spans="1:14" s="3" customFormat="1" ht="18" customHeight="1" hidden="1">
      <c r="A76" s="494">
        <v>21</v>
      </c>
      <c r="B76" s="87" t="s">
        <v>172</v>
      </c>
      <c r="C76" s="136" t="s">
        <v>607</v>
      </c>
      <c r="D76" s="109" t="s">
        <v>11</v>
      </c>
      <c r="E76" s="110" t="s">
        <v>34</v>
      </c>
      <c r="F76" s="45"/>
      <c r="G76" s="110"/>
      <c r="H76" s="507"/>
      <c r="I76" s="110">
        <f>E77</f>
        <v>9.5</v>
      </c>
      <c r="J76" s="130"/>
      <c r="K76" s="44"/>
      <c r="L76" s="44"/>
      <c r="M76" s="1"/>
      <c r="N76" s="516">
        <f t="shared" si="4"/>
        <v>0</v>
      </c>
    </row>
    <row r="77" spans="1:14" s="3" customFormat="1" ht="30" customHeight="1" hidden="1">
      <c r="A77" s="494"/>
      <c r="B77" s="98"/>
      <c r="C77" s="137" t="s">
        <v>608</v>
      </c>
      <c r="D77" s="104" t="s">
        <v>11</v>
      </c>
      <c r="E77" s="105">
        <f>10.5-1</f>
        <v>9.5</v>
      </c>
      <c r="F77" s="498"/>
      <c r="G77" s="105"/>
      <c r="H77" s="508"/>
      <c r="I77" s="105" t="s">
        <v>34</v>
      </c>
      <c r="J77" s="130"/>
      <c r="K77" s="44"/>
      <c r="L77" s="44"/>
      <c r="M77" s="1"/>
      <c r="N77" s="516">
        <f t="shared" si="4"/>
        <v>0</v>
      </c>
    </row>
    <row r="78" spans="1:14" s="3" customFormat="1" ht="18" customHeight="1" hidden="1">
      <c r="A78" s="85" t="s">
        <v>34</v>
      </c>
      <c r="B78" s="85" t="s">
        <v>102</v>
      </c>
      <c r="C78" s="814" t="s">
        <v>609</v>
      </c>
      <c r="D78" s="814"/>
      <c r="E78" s="814"/>
      <c r="F78" s="814"/>
      <c r="G78" s="814"/>
      <c r="H78" s="814"/>
      <c r="I78" s="814"/>
      <c r="J78" s="130"/>
      <c r="K78" s="44"/>
      <c r="L78" s="44"/>
      <c r="M78" s="525"/>
      <c r="N78" s="516">
        <f t="shared" si="4"/>
        <v>0</v>
      </c>
    </row>
    <row r="79" spans="1:14" s="3" customFormat="1" ht="38.25" customHeight="1" hidden="1">
      <c r="A79" s="494">
        <v>22</v>
      </c>
      <c r="B79" s="87" t="s">
        <v>610</v>
      </c>
      <c r="C79" s="136" t="s">
        <v>655</v>
      </c>
      <c r="D79" s="109" t="s">
        <v>11</v>
      </c>
      <c r="E79" s="110" t="s">
        <v>34</v>
      </c>
      <c r="F79" s="45"/>
      <c r="G79" s="110"/>
      <c r="H79" s="507"/>
      <c r="I79" s="110">
        <f>E80</f>
        <v>244</v>
      </c>
      <c r="J79" s="130"/>
      <c r="K79" s="44"/>
      <c r="L79" s="44"/>
      <c r="M79" s="525"/>
      <c r="N79" s="516">
        <f t="shared" si="4"/>
        <v>0</v>
      </c>
    </row>
    <row r="80" spans="1:16" s="3" customFormat="1" ht="69.75" customHeight="1" hidden="1">
      <c r="A80" s="494"/>
      <c r="B80" s="98"/>
      <c r="C80" s="137" t="s">
        <v>656</v>
      </c>
      <c r="D80" s="104" t="s">
        <v>11</v>
      </c>
      <c r="E80" s="105">
        <f>46+31+45+38+41+43</f>
        <v>244</v>
      </c>
      <c r="F80" s="498"/>
      <c r="G80" s="105"/>
      <c r="H80" s="508"/>
      <c r="I80" s="105" t="s">
        <v>34</v>
      </c>
      <c r="J80" s="130"/>
      <c r="K80" s="44"/>
      <c r="L80" s="44"/>
      <c r="M80" s="525"/>
      <c r="N80" s="516">
        <f t="shared" si="4"/>
        <v>0</v>
      </c>
      <c r="P80" s="3">
        <f>38+41+43</f>
        <v>122</v>
      </c>
    </row>
    <row r="81" spans="1:14" s="3" customFormat="1" ht="17.25" customHeight="1" hidden="1">
      <c r="A81" s="493" t="s">
        <v>611</v>
      </c>
      <c r="B81" s="94" t="str">
        <f>B79</f>
        <v>03.02.01.28</v>
      </c>
      <c r="C81" s="90" t="s">
        <v>175</v>
      </c>
      <c r="D81" s="91" t="s">
        <v>34</v>
      </c>
      <c r="E81" s="92" t="s">
        <v>34</v>
      </c>
      <c r="F81" s="499"/>
      <c r="G81" s="92"/>
      <c r="H81" s="506"/>
      <c r="I81" s="92" t="s">
        <v>34</v>
      </c>
      <c r="J81" s="130"/>
      <c r="K81" s="44"/>
      <c r="L81" s="44"/>
      <c r="M81" s="525"/>
      <c r="N81" s="516">
        <f t="shared" si="4"/>
        <v>0</v>
      </c>
    </row>
    <row r="82" spans="1:15" s="3" customFormat="1" ht="26.25" customHeight="1" hidden="1">
      <c r="A82" s="109"/>
      <c r="B82" s="200"/>
      <c r="C82" s="199" t="s">
        <v>259</v>
      </c>
      <c r="D82" s="197" t="s">
        <v>300</v>
      </c>
      <c r="E82" s="198">
        <f>0.18*1</f>
        <v>0.18</v>
      </c>
      <c r="F82" s="500"/>
      <c r="G82" s="198"/>
      <c r="H82" s="509"/>
      <c r="I82" s="198">
        <f>E82</f>
        <v>0.18</v>
      </c>
      <c r="J82" s="130"/>
      <c r="K82" s="44"/>
      <c r="L82" s="44"/>
      <c r="M82" s="525"/>
      <c r="N82" s="516">
        <f t="shared" si="4"/>
        <v>0</v>
      </c>
      <c r="O82" s="418"/>
    </row>
    <row r="83" spans="1:15" s="3" customFormat="1" ht="30.75" customHeight="1" hidden="1">
      <c r="A83" s="109"/>
      <c r="B83" s="200"/>
      <c r="C83" s="196" t="s">
        <v>178</v>
      </c>
      <c r="D83" s="197" t="s">
        <v>300</v>
      </c>
      <c r="E83" s="198">
        <f>1*(1.5*0.85-3.14*0.325*0.325)</f>
        <v>0.94</v>
      </c>
      <c r="F83" s="500"/>
      <c r="G83" s="198"/>
      <c r="H83" s="509"/>
      <c r="I83" s="198">
        <f>E83</f>
        <v>0.94</v>
      </c>
      <c r="J83" s="130"/>
      <c r="K83" s="44"/>
      <c r="L83" s="44"/>
      <c r="M83" s="525"/>
      <c r="N83" s="516">
        <f t="shared" si="4"/>
        <v>0</v>
      </c>
      <c r="O83" s="418"/>
    </row>
    <row r="84" spans="1:15" s="3" customFormat="1" ht="18" customHeight="1" hidden="1">
      <c r="A84" s="493"/>
      <c r="B84" s="94"/>
      <c r="C84" s="201" t="s">
        <v>657</v>
      </c>
      <c r="D84" s="202" t="s">
        <v>11</v>
      </c>
      <c r="E84" s="203">
        <v>1</v>
      </c>
      <c r="F84" s="501"/>
      <c r="G84" s="203"/>
      <c r="H84" s="510"/>
      <c r="I84" s="203">
        <v>1</v>
      </c>
      <c r="J84" s="130"/>
      <c r="K84" s="44"/>
      <c r="L84" s="44"/>
      <c r="M84" s="525"/>
      <c r="N84" s="516">
        <f t="shared" si="4"/>
        <v>0</v>
      </c>
      <c r="O84" s="418"/>
    </row>
    <row r="85" spans="1:14" s="3" customFormat="1" ht="18" customHeight="1" hidden="1">
      <c r="A85" s="494">
        <v>22</v>
      </c>
      <c r="B85" s="87" t="s">
        <v>124</v>
      </c>
      <c r="C85" s="136" t="s">
        <v>176</v>
      </c>
      <c r="D85" s="109" t="s">
        <v>11</v>
      </c>
      <c r="E85" s="110" t="s">
        <v>34</v>
      </c>
      <c r="F85" s="45"/>
      <c r="G85" s="110"/>
      <c r="H85" s="507"/>
      <c r="I85" s="110">
        <f>E86</f>
        <v>33.5</v>
      </c>
      <c r="J85" s="130"/>
      <c r="K85" s="44"/>
      <c r="L85" s="44"/>
      <c r="M85" s="525"/>
      <c r="N85" s="516">
        <f t="shared" si="4"/>
        <v>0</v>
      </c>
    </row>
    <row r="86" spans="1:14" s="3" customFormat="1" ht="81.75" customHeight="1" hidden="1">
      <c r="A86" s="494"/>
      <c r="B86" s="98"/>
      <c r="C86" s="137" t="s">
        <v>612</v>
      </c>
      <c r="D86" s="104" t="s">
        <v>11</v>
      </c>
      <c r="E86" s="105">
        <f>3.5+7+2.5+8+3+3+3+3.5</f>
        <v>33.5</v>
      </c>
      <c r="F86" s="498"/>
      <c r="G86" s="105"/>
      <c r="H86" s="508"/>
      <c r="I86" s="105" t="s">
        <v>34</v>
      </c>
      <c r="J86" s="130"/>
      <c r="K86" s="44"/>
      <c r="L86" s="44"/>
      <c r="M86" s="525"/>
      <c r="N86" s="516">
        <f t="shared" si="4"/>
        <v>0</v>
      </c>
    </row>
    <row r="87" spans="1:14" s="3" customFormat="1" ht="27.75" customHeight="1" hidden="1">
      <c r="A87" s="494">
        <v>23</v>
      </c>
      <c r="B87" s="87" t="s">
        <v>613</v>
      </c>
      <c r="C87" s="136" t="s">
        <v>658</v>
      </c>
      <c r="D87" s="109" t="s">
        <v>12</v>
      </c>
      <c r="E87" s="110" t="s">
        <v>34</v>
      </c>
      <c r="F87" s="45"/>
      <c r="G87" s="110"/>
      <c r="H87" s="507"/>
      <c r="I87" s="110">
        <f>E88</f>
        <v>6</v>
      </c>
      <c r="J87" s="130"/>
      <c r="K87" s="44"/>
      <c r="L87" s="44"/>
      <c r="M87" s="525"/>
      <c r="N87" s="516">
        <f t="shared" si="4"/>
        <v>0</v>
      </c>
    </row>
    <row r="88" spans="1:14" s="3" customFormat="1" ht="78.75" customHeight="1" hidden="1">
      <c r="A88" s="494"/>
      <c r="B88" s="98"/>
      <c r="C88" s="137" t="s">
        <v>614</v>
      </c>
      <c r="D88" s="104" t="s">
        <v>12</v>
      </c>
      <c r="E88" s="105">
        <f>2+4</f>
        <v>6</v>
      </c>
      <c r="F88" s="498"/>
      <c r="G88" s="105"/>
      <c r="H88" s="508"/>
      <c r="I88" s="105" t="s">
        <v>34</v>
      </c>
      <c r="J88" s="130"/>
      <c r="K88" s="44"/>
      <c r="L88" s="44"/>
      <c r="M88" s="525"/>
      <c r="N88" s="516">
        <f t="shared" si="4"/>
        <v>0</v>
      </c>
    </row>
    <row r="89" spans="1:14" s="3" customFormat="1" ht="29.25" customHeight="1" hidden="1">
      <c r="A89" s="494">
        <v>24</v>
      </c>
      <c r="B89" s="87" t="s">
        <v>615</v>
      </c>
      <c r="C89" s="136" t="s">
        <v>659</v>
      </c>
      <c r="D89" s="109" t="s">
        <v>12</v>
      </c>
      <c r="E89" s="110" t="s">
        <v>34</v>
      </c>
      <c r="F89" s="45"/>
      <c r="G89" s="110"/>
      <c r="H89" s="507"/>
      <c r="I89" s="110">
        <f>E90</f>
        <v>1</v>
      </c>
      <c r="J89" s="130"/>
      <c r="K89" s="44"/>
      <c r="L89" s="44"/>
      <c r="M89" s="525"/>
      <c r="N89" s="516">
        <f t="shared" si="4"/>
        <v>0</v>
      </c>
    </row>
    <row r="90" spans="1:14" s="3" customFormat="1" ht="71.25" customHeight="1" hidden="1">
      <c r="A90" s="494"/>
      <c r="B90" s="98"/>
      <c r="C90" s="137" t="s">
        <v>616</v>
      </c>
      <c r="D90" s="104" t="s">
        <v>12</v>
      </c>
      <c r="E90" s="105">
        <v>1</v>
      </c>
      <c r="F90" s="498"/>
      <c r="G90" s="105"/>
      <c r="H90" s="508"/>
      <c r="I90" s="105" t="s">
        <v>34</v>
      </c>
      <c r="J90" s="130"/>
      <c r="K90" s="44"/>
      <c r="L90" s="44"/>
      <c r="M90" s="525"/>
      <c r="N90" s="516">
        <f t="shared" si="4"/>
        <v>0</v>
      </c>
    </row>
    <row r="91" spans="1:14" s="3" customFormat="1" ht="18" customHeight="1" hidden="1">
      <c r="A91" s="494">
        <v>25</v>
      </c>
      <c r="B91" s="87" t="s">
        <v>177</v>
      </c>
      <c r="C91" s="136" t="s">
        <v>309</v>
      </c>
      <c r="D91" s="109" t="s">
        <v>12</v>
      </c>
      <c r="E91" s="110" t="s">
        <v>34</v>
      </c>
      <c r="F91" s="45"/>
      <c r="G91" s="110"/>
      <c r="H91" s="507"/>
      <c r="I91" s="110">
        <f>E92</f>
        <v>8</v>
      </c>
      <c r="J91" s="130"/>
      <c r="K91" s="44"/>
      <c r="L91" s="44"/>
      <c r="M91" s="525"/>
      <c r="N91" s="516">
        <f t="shared" si="4"/>
        <v>0</v>
      </c>
    </row>
    <row r="92" spans="1:14" s="3" customFormat="1" ht="93.75" customHeight="1" hidden="1">
      <c r="A92" s="494"/>
      <c r="B92" s="98"/>
      <c r="C92" s="137" t="s">
        <v>617</v>
      </c>
      <c r="D92" s="104" t="s">
        <v>12</v>
      </c>
      <c r="E92" s="105">
        <f>8</f>
        <v>8</v>
      </c>
      <c r="F92" s="498"/>
      <c r="G92" s="105"/>
      <c r="H92" s="508"/>
      <c r="I92" s="105" t="s">
        <v>34</v>
      </c>
      <c r="J92" s="130"/>
      <c r="K92" s="44"/>
      <c r="L92" s="44"/>
      <c r="M92" s="525"/>
      <c r="N92" s="516">
        <f t="shared" si="4"/>
        <v>0</v>
      </c>
    </row>
    <row r="93" spans="1:14" s="3" customFormat="1" ht="29.25" customHeight="1">
      <c r="A93" s="97">
        <v>8</v>
      </c>
      <c r="B93" s="98" t="s">
        <v>788</v>
      </c>
      <c r="C93" s="99" t="s">
        <v>789</v>
      </c>
      <c r="D93" s="97" t="s">
        <v>9</v>
      </c>
      <c r="E93" s="101" t="s">
        <v>34</v>
      </c>
      <c r="F93" s="496">
        <f>I93</f>
        <v>2</v>
      </c>
      <c r="G93" s="101"/>
      <c r="H93" s="507"/>
      <c r="I93" s="101">
        <v>2</v>
      </c>
      <c r="J93" s="130"/>
      <c r="K93" s="44"/>
      <c r="L93" s="44"/>
      <c r="M93" s="525"/>
      <c r="N93" s="516">
        <f t="shared" si="4"/>
        <v>0</v>
      </c>
    </row>
    <row r="94" spans="1:14" s="3" customFormat="1" ht="81" customHeight="1" hidden="1">
      <c r="A94" s="493"/>
      <c r="B94" s="94"/>
      <c r="C94" s="90" t="s">
        <v>797</v>
      </c>
      <c r="D94" s="91" t="s">
        <v>9</v>
      </c>
      <c r="E94" s="92">
        <v>2</v>
      </c>
      <c r="F94" s="496" t="str">
        <f>I94</f>
        <v>x</v>
      </c>
      <c r="G94" s="92"/>
      <c r="H94" s="506"/>
      <c r="I94" s="92" t="s">
        <v>34</v>
      </c>
      <c r="J94" s="130"/>
      <c r="K94" s="44"/>
      <c r="L94" s="44"/>
      <c r="M94" s="525"/>
      <c r="N94" s="516">
        <f t="shared" si="4"/>
        <v>0</v>
      </c>
    </row>
    <row r="95" spans="1:14" s="3" customFormat="1" ht="31.5" customHeight="1">
      <c r="A95" s="844" t="s">
        <v>802</v>
      </c>
      <c r="B95" s="844"/>
      <c r="C95" s="844"/>
      <c r="D95" s="844"/>
      <c r="E95" s="844"/>
      <c r="F95" s="844"/>
      <c r="G95" s="844"/>
      <c r="H95" s="529"/>
      <c r="I95" s="92"/>
      <c r="J95" s="130"/>
      <c r="K95" s="44"/>
      <c r="L95" s="44"/>
      <c r="M95" s="525"/>
      <c r="N95" s="516"/>
    </row>
    <row r="96" spans="1:14" s="3" customFormat="1" ht="27" customHeight="1">
      <c r="A96" s="25" t="s">
        <v>62</v>
      </c>
      <c r="B96" s="25" t="s">
        <v>61</v>
      </c>
      <c r="C96" s="848" t="s">
        <v>204</v>
      </c>
      <c r="D96" s="848"/>
      <c r="E96" s="848"/>
      <c r="F96" s="848"/>
      <c r="G96" s="848"/>
      <c r="H96" s="848"/>
      <c r="I96" s="848"/>
      <c r="J96" s="130"/>
      <c r="K96" s="44"/>
      <c r="L96" s="44"/>
      <c r="M96" s="525"/>
      <c r="N96" s="516">
        <f t="shared" si="4"/>
        <v>0</v>
      </c>
    </row>
    <row r="97" spans="1:14" s="1" customFormat="1" ht="18" customHeight="1">
      <c r="A97" s="85" t="s">
        <v>34</v>
      </c>
      <c r="B97" s="85" t="s">
        <v>107</v>
      </c>
      <c r="C97" s="814" t="s">
        <v>108</v>
      </c>
      <c r="D97" s="814"/>
      <c r="E97" s="814"/>
      <c r="F97" s="814"/>
      <c r="G97" s="814"/>
      <c r="H97" s="814"/>
      <c r="I97" s="814"/>
      <c r="J97" s="133"/>
      <c r="K97" s="849"/>
      <c r="L97" s="849"/>
      <c r="M97" s="525"/>
      <c r="N97" s="516">
        <f t="shared" si="4"/>
        <v>0</v>
      </c>
    </row>
    <row r="98" spans="1:14" s="1" customFormat="1" ht="27.75" customHeight="1">
      <c r="A98" s="109">
        <v>9</v>
      </c>
      <c r="B98" s="112" t="s">
        <v>261</v>
      </c>
      <c r="C98" s="139" t="s">
        <v>262</v>
      </c>
      <c r="D98" s="109" t="s">
        <v>199</v>
      </c>
      <c r="E98" s="110" t="s">
        <v>34</v>
      </c>
      <c r="F98" s="496">
        <f>I98</f>
        <v>20</v>
      </c>
      <c r="G98" s="110"/>
      <c r="H98" s="507"/>
      <c r="I98" s="110">
        <f>E99</f>
        <v>20</v>
      </c>
      <c r="J98" s="133"/>
      <c r="K98" s="132"/>
      <c r="L98" s="132"/>
      <c r="M98" s="525"/>
      <c r="N98" s="516">
        <f t="shared" si="4"/>
        <v>0</v>
      </c>
    </row>
    <row r="99" spans="1:14" s="1" customFormat="1" ht="69" customHeight="1" hidden="1">
      <c r="A99" s="109"/>
      <c r="B99" s="112"/>
      <c r="C99" s="138" t="s">
        <v>764</v>
      </c>
      <c r="D99" s="111" t="s">
        <v>200</v>
      </c>
      <c r="E99" s="107">
        <v>20</v>
      </c>
      <c r="F99" s="496" t="str">
        <f>I99</f>
        <v>x</v>
      </c>
      <c r="G99" s="107"/>
      <c r="H99" s="508"/>
      <c r="I99" s="107" t="s">
        <v>34</v>
      </c>
      <c r="J99" s="133"/>
      <c r="K99" s="132"/>
      <c r="L99" s="132"/>
      <c r="M99" s="526"/>
      <c r="N99" s="516">
        <f t="shared" si="4"/>
        <v>0</v>
      </c>
    </row>
    <row r="100" spans="1:14" s="1" customFormat="1" ht="18.75" customHeight="1">
      <c r="A100" s="85" t="s">
        <v>34</v>
      </c>
      <c r="B100" s="85" t="s">
        <v>125</v>
      </c>
      <c r="C100" s="814" t="s">
        <v>126</v>
      </c>
      <c r="D100" s="814"/>
      <c r="E100" s="814"/>
      <c r="F100" s="814"/>
      <c r="G100" s="814"/>
      <c r="H100" s="814"/>
      <c r="I100" s="814"/>
      <c r="J100" s="133"/>
      <c r="K100" s="132"/>
      <c r="L100" s="132"/>
      <c r="M100" s="525"/>
      <c r="N100" s="516">
        <f t="shared" si="4"/>
        <v>0</v>
      </c>
    </row>
    <row r="101" spans="1:14" s="1" customFormat="1" ht="21" customHeight="1">
      <c r="A101" s="109">
        <v>10</v>
      </c>
      <c r="B101" s="112" t="s">
        <v>179</v>
      </c>
      <c r="C101" s="139" t="s">
        <v>720</v>
      </c>
      <c r="D101" s="109" t="s">
        <v>199</v>
      </c>
      <c r="E101" s="110" t="s">
        <v>34</v>
      </c>
      <c r="F101" s="496">
        <f>I101</f>
        <v>713.55</v>
      </c>
      <c r="G101" s="110"/>
      <c r="H101" s="507"/>
      <c r="I101" s="110">
        <f>E102</f>
        <v>713.55</v>
      </c>
      <c r="J101" s="133"/>
      <c r="K101" s="132"/>
      <c r="L101" s="132"/>
      <c r="M101" s="525"/>
      <c r="N101" s="516">
        <f t="shared" si="4"/>
        <v>0</v>
      </c>
    </row>
    <row r="102" spans="1:21" s="1" customFormat="1" ht="95.25" customHeight="1" hidden="1">
      <c r="A102" s="109"/>
      <c r="B102" s="112"/>
      <c r="C102" s="138" t="s">
        <v>777</v>
      </c>
      <c r="D102" s="111" t="s">
        <v>200</v>
      </c>
      <c r="E102" s="107">
        <f>520.84+192.71</f>
        <v>713.55</v>
      </c>
      <c r="F102" s="496" t="str">
        <f>I102</f>
        <v>x</v>
      </c>
      <c r="G102" s="107"/>
      <c r="H102" s="508"/>
      <c r="I102" s="107" t="s">
        <v>34</v>
      </c>
      <c r="J102" s="133"/>
      <c r="K102" s="132"/>
      <c r="L102" s="132"/>
      <c r="N102" s="516">
        <f t="shared" si="4"/>
        <v>0</v>
      </c>
      <c r="P102" s="1">
        <f>(624.29-156.21)*1.07</f>
        <v>500.8456</v>
      </c>
      <c r="Q102" s="1">
        <f>98.2*1.1</f>
        <v>108.02</v>
      </c>
      <c r="S102" s="1">
        <f>262.46+172.78</f>
        <v>435.24</v>
      </c>
      <c r="U102" s="1">
        <f>(411-97)+(388.5-72)</f>
        <v>630.5</v>
      </c>
    </row>
    <row r="103" spans="1:14" s="1" customFormat="1" ht="19.5" customHeight="1" hidden="1">
      <c r="A103" s="85" t="s">
        <v>34</v>
      </c>
      <c r="B103" s="85" t="s">
        <v>17</v>
      </c>
      <c r="C103" s="814" t="s">
        <v>18</v>
      </c>
      <c r="D103" s="814"/>
      <c r="E103" s="814"/>
      <c r="F103" s="814"/>
      <c r="G103" s="814"/>
      <c r="H103" s="814"/>
      <c r="I103" s="814"/>
      <c r="J103" s="133"/>
      <c r="K103" s="132"/>
      <c r="L103" s="132"/>
      <c r="N103" s="516">
        <f t="shared" si="4"/>
        <v>0</v>
      </c>
    </row>
    <row r="104" spans="1:14" s="1" customFormat="1" ht="19.5" customHeight="1" hidden="1">
      <c r="A104" s="109">
        <v>28</v>
      </c>
      <c r="B104" s="113" t="s">
        <v>622</v>
      </c>
      <c r="C104" s="139" t="s">
        <v>621</v>
      </c>
      <c r="D104" s="109" t="s">
        <v>199</v>
      </c>
      <c r="E104" s="110" t="s">
        <v>34</v>
      </c>
      <c r="F104" s="45"/>
      <c r="G104" s="110"/>
      <c r="H104" s="507"/>
      <c r="I104" s="110">
        <f>E105</f>
        <v>424.62</v>
      </c>
      <c r="J104" s="133"/>
      <c r="K104" s="132"/>
      <c r="L104" s="132"/>
      <c r="N104" s="516">
        <f t="shared" si="4"/>
        <v>0</v>
      </c>
    </row>
    <row r="105" spans="1:19" s="1" customFormat="1" ht="89.25" customHeight="1" hidden="1">
      <c r="A105" s="111"/>
      <c r="B105" s="114"/>
      <c r="C105" s="138" t="s">
        <v>623</v>
      </c>
      <c r="D105" s="111" t="s">
        <v>200</v>
      </c>
      <c r="E105" s="107">
        <f>114+89.2+135.91+85.51</f>
        <v>424.62</v>
      </c>
      <c r="F105" s="502"/>
      <c r="G105" s="107"/>
      <c r="H105" s="508"/>
      <c r="I105" s="107" t="s">
        <v>34</v>
      </c>
      <c r="J105" s="133"/>
      <c r="K105" s="132"/>
      <c r="L105" s="132"/>
      <c r="N105" s="516">
        <f t="shared" si="4"/>
        <v>0</v>
      </c>
      <c r="P105" s="1">
        <f>114</f>
        <v>114</v>
      </c>
      <c r="Q105" s="1">
        <f>98.2</f>
        <v>98.2</v>
      </c>
      <c r="R105" s="1">
        <v>135.91</v>
      </c>
      <c r="S105" s="1">
        <v>85.51</v>
      </c>
    </row>
    <row r="106" spans="1:14" s="8" customFormat="1" ht="18.75" customHeight="1" hidden="1">
      <c r="A106" s="109">
        <v>29</v>
      </c>
      <c r="B106" s="113" t="s">
        <v>183</v>
      </c>
      <c r="C106" s="139" t="s">
        <v>624</v>
      </c>
      <c r="D106" s="109" t="s">
        <v>199</v>
      </c>
      <c r="E106" s="110" t="s">
        <v>34</v>
      </c>
      <c r="F106" s="45"/>
      <c r="G106" s="110"/>
      <c r="H106" s="507"/>
      <c r="I106" s="110">
        <f>E107</f>
        <v>203.2</v>
      </c>
      <c r="J106" s="140"/>
      <c r="K106" s="801"/>
      <c r="L106" s="801"/>
      <c r="M106" s="1"/>
      <c r="N106" s="516">
        <f t="shared" si="4"/>
        <v>0</v>
      </c>
    </row>
    <row r="107" spans="1:14" s="11" customFormat="1" ht="43.5" customHeight="1" hidden="1">
      <c r="A107" s="111"/>
      <c r="B107" s="114"/>
      <c r="C107" s="138" t="s">
        <v>625</v>
      </c>
      <c r="D107" s="111" t="s">
        <v>200</v>
      </c>
      <c r="E107" s="107">
        <f>203.2</f>
        <v>203.2</v>
      </c>
      <c r="F107" s="502"/>
      <c r="G107" s="107"/>
      <c r="H107" s="508"/>
      <c r="I107" s="107" t="s">
        <v>34</v>
      </c>
      <c r="J107" s="141"/>
      <c r="K107" s="43">
        <v>1.26</v>
      </c>
      <c r="L107" s="43">
        <f>K107*I106</f>
        <v>256.03</v>
      </c>
      <c r="M107" s="1"/>
      <c r="N107" s="516">
        <f t="shared" si="4"/>
        <v>0</v>
      </c>
    </row>
    <row r="108" spans="1:14" s="11" customFormat="1" ht="18.75" customHeight="1" hidden="1">
      <c r="A108" s="109">
        <v>30</v>
      </c>
      <c r="B108" s="112" t="s">
        <v>184</v>
      </c>
      <c r="C108" s="139" t="s">
        <v>185</v>
      </c>
      <c r="D108" s="109" t="s">
        <v>199</v>
      </c>
      <c r="E108" s="110" t="s">
        <v>34</v>
      </c>
      <c r="F108" s="45"/>
      <c r="G108" s="110"/>
      <c r="H108" s="507"/>
      <c r="I108" s="110">
        <f>E109</f>
        <v>424.62</v>
      </c>
      <c r="J108" s="141"/>
      <c r="K108" s="43"/>
      <c r="L108" s="43"/>
      <c r="M108" s="1"/>
      <c r="N108" s="516">
        <f t="shared" si="4"/>
        <v>0</v>
      </c>
    </row>
    <row r="109" spans="1:14" s="11" customFormat="1" ht="94.5" customHeight="1" hidden="1">
      <c r="A109" s="109"/>
      <c r="B109" s="114"/>
      <c r="C109" s="186" t="s">
        <v>626</v>
      </c>
      <c r="D109" s="111" t="s">
        <v>200</v>
      </c>
      <c r="E109" s="107">
        <f>E105</f>
        <v>424.62</v>
      </c>
      <c r="F109" s="502"/>
      <c r="G109" s="107"/>
      <c r="H109" s="508"/>
      <c r="I109" s="110" t="s">
        <v>34</v>
      </c>
      <c r="J109" s="141"/>
      <c r="K109" s="43"/>
      <c r="L109" s="43"/>
      <c r="M109" s="1"/>
      <c r="N109" s="516">
        <f t="shared" si="4"/>
        <v>0</v>
      </c>
    </row>
    <row r="110" spans="1:14" s="8" customFormat="1" ht="17.25" customHeight="1" hidden="1">
      <c r="A110" s="109">
        <v>31</v>
      </c>
      <c r="B110" s="112" t="s">
        <v>78</v>
      </c>
      <c r="C110" s="139" t="s">
        <v>77</v>
      </c>
      <c r="D110" s="109" t="s">
        <v>199</v>
      </c>
      <c r="E110" s="110" t="s">
        <v>34</v>
      </c>
      <c r="F110" s="45"/>
      <c r="G110" s="110"/>
      <c r="H110" s="507"/>
      <c r="I110" s="110">
        <f>E111</f>
        <v>203.2</v>
      </c>
      <c r="J110" s="134"/>
      <c r="K110" s="45"/>
      <c r="L110" s="45"/>
      <c r="M110" s="1"/>
      <c r="N110" s="516">
        <f t="shared" si="4"/>
        <v>0</v>
      </c>
    </row>
    <row r="111" spans="1:14" s="8" customFormat="1" ht="42" customHeight="1" hidden="1">
      <c r="A111" s="109"/>
      <c r="B111" s="114"/>
      <c r="C111" s="138" t="s">
        <v>627</v>
      </c>
      <c r="D111" s="111" t="s">
        <v>200</v>
      </c>
      <c r="E111" s="107">
        <f>E107</f>
        <v>203.2</v>
      </c>
      <c r="F111" s="502"/>
      <c r="G111" s="107"/>
      <c r="H111" s="508"/>
      <c r="I111" s="110" t="s">
        <v>34</v>
      </c>
      <c r="J111" s="134"/>
      <c r="K111" s="45"/>
      <c r="L111" s="45"/>
      <c r="M111" s="1"/>
      <c r="N111" s="516">
        <f t="shared" si="4"/>
        <v>0</v>
      </c>
    </row>
    <row r="112" spans="1:14" s="8" customFormat="1" ht="18" customHeight="1">
      <c r="A112" s="85" t="s">
        <v>34</v>
      </c>
      <c r="B112" s="85" t="s">
        <v>19</v>
      </c>
      <c r="C112" s="814" t="s">
        <v>20</v>
      </c>
      <c r="D112" s="814"/>
      <c r="E112" s="814"/>
      <c r="F112" s="814"/>
      <c r="G112" s="814"/>
      <c r="H112" s="814"/>
      <c r="I112" s="814"/>
      <c r="J112" s="134"/>
      <c r="K112" s="45"/>
      <c r="L112" s="45"/>
      <c r="M112" s="1"/>
      <c r="N112" s="516">
        <f t="shared" si="4"/>
        <v>0</v>
      </c>
    </row>
    <row r="113" spans="1:14" s="8" customFormat="1" ht="30" customHeight="1">
      <c r="A113" s="109">
        <v>11</v>
      </c>
      <c r="B113" s="113" t="s">
        <v>633</v>
      </c>
      <c r="C113" s="142" t="s">
        <v>634</v>
      </c>
      <c r="D113" s="109" t="s">
        <v>199</v>
      </c>
      <c r="E113" s="110" t="s">
        <v>34</v>
      </c>
      <c r="F113" s="496">
        <f>I113</f>
        <v>520.84</v>
      </c>
      <c r="G113" s="110"/>
      <c r="H113" s="507"/>
      <c r="I113" s="110">
        <f>SUM(E114:E114)</f>
        <v>520.84</v>
      </c>
      <c r="J113" s="134"/>
      <c r="K113" s="45"/>
      <c r="L113" s="45"/>
      <c r="M113" s="1"/>
      <c r="N113" s="516">
        <f t="shared" si="4"/>
        <v>0</v>
      </c>
    </row>
    <row r="114" spans="1:14" s="8" customFormat="1" ht="51.75" customHeight="1" hidden="1">
      <c r="A114" s="109"/>
      <c r="B114" s="114"/>
      <c r="C114" s="138" t="s">
        <v>772</v>
      </c>
      <c r="D114" s="111" t="s">
        <v>200</v>
      </c>
      <c r="E114" s="107">
        <v>520.84</v>
      </c>
      <c r="F114" s="496" t="str">
        <f>I114</f>
        <v>x</v>
      </c>
      <c r="G114" s="107"/>
      <c r="H114" s="508"/>
      <c r="I114" s="110" t="s">
        <v>34</v>
      </c>
      <c r="J114" s="134"/>
      <c r="K114" s="45"/>
      <c r="L114" s="45"/>
      <c r="M114" s="1"/>
      <c r="N114" s="516">
        <f t="shared" si="4"/>
        <v>0</v>
      </c>
    </row>
    <row r="115" spans="1:14" s="8" customFormat="1" ht="29.25" customHeight="1" hidden="1">
      <c r="A115" s="109">
        <v>33</v>
      </c>
      <c r="B115" s="113" t="s">
        <v>628</v>
      </c>
      <c r="C115" s="142" t="s">
        <v>629</v>
      </c>
      <c r="D115" s="109" t="s">
        <v>199</v>
      </c>
      <c r="E115" s="110" t="s">
        <v>34</v>
      </c>
      <c r="F115" s="45"/>
      <c r="G115" s="110"/>
      <c r="H115" s="507"/>
      <c r="I115" s="110">
        <f>SUM(E116:E116)</f>
        <v>203.2</v>
      </c>
      <c r="J115" s="140"/>
      <c r="K115" s="801"/>
      <c r="L115" s="801"/>
      <c r="N115" s="516">
        <f t="shared" si="4"/>
        <v>0</v>
      </c>
    </row>
    <row r="116" spans="1:14" s="8" customFormat="1" ht="47.25" customHeight="1" hidden="1">
      <c r="A116" s="109"/>
      <c r="B116" s="114"/>
      <c r="C116" s="138" t="s">
        <v>630</v>
      </c>
      <c r="D116" s="111" t="s">
        <v>200</v>
      </c>
      <c r="E116" s="107">
        <f>114+89.2</f>
        <v>203.2</v>
      </c>
      <c r="F116" s="502"/>
      <c r="G116" s="107"/>
      <c r="H116" s="508"/>
      <c r="I116" s="110" t="s">
        <v>34</v>
      </c>
      <c r="J116" s="140"/>
      <c r="K116" s="461"/>
      <c r="L116" s="461"/>
      <c r="N116" s="516">
        <f t="shared" si="4"/>
        <v>0</v>
      </c>
    </row>
    <row r="117" spans="1:14" s="8" customFormat="1" ht="21" customHeight="1">
      <c r="A117" s="85" t="s">
        <v>34</v>
      </c>
      <c r="B117" s="85" t="s">
        <v>188</v>
      </c>
      <c r="C117" s="814" t="s">
        <v>631</v>
      </c>
      <c r="D117" s="814"/>
      <c r="E117" s="814"/>
      <c r="F117" s="814"/>
      <c r="G117" s="814"/>
      <c r="H117" s="814"/>
      <c r="I117" s="814"/>
      <c r="J117" s="140"/>
      <c r="K117" s="461"/>
      <c r="L117" s="461"/>
      <c r="N117" s="516">
        <f t="shared" si="4"/>
        <v>0</v>
      </c>
    </row>
    <row r="118" spans="1:14" s="8" customFormat="1" ht="30.75" customHeight="1">
      <c r="A118" s="109">
        <v>12</v>
      </c>
      <c r="B118" s="113" t="s">
        <v>267</v>
      </c>
      <c r="C118" s="142" t="s">
        <v>632</v>
      </c>
      <c r="D118" s="109" t="s">
        <v>199</v>
      </c>
      <c r="E118" s="110" t="s">
        <v>34</v>
      </c>
      <c r="F118" s="496">
        <f>I118</f>
        <v>192.71</v>
      </c>
      <c r="G118" s="110"/>
      <c r="H118" s="507"/>
      <c r="I118" s="110">
        <f>SUM(E119:E119)</f>
        <v>192.71</v>
      </c>
      <c r="J118" s="140"/>
      <c r="K118" s="461"/>
      <c r="L118" s="461"/>
      <c r="N118" s="516">
        <f t="shared" si="4"/>
        <v>0</v>
      </c>
    </row>
    <row r="119" spans="1:14" s="8" customFormat="1" ht="45.75" customHeight="1" hidden="1">
      <c r="A119" s="109"/>
      <c r="B119" s="114"/>
      <c r="C119" s="138" t="s">
        <v>776</v>
      </c>
      <c r="D119" s="111" t="s">
        <v>200</v>
      </c>
      <c r="E119" s="107">
        <v>192.71</v>
      </c>
      <c r="F119" s="496" t="str">
        <f>I119</f>
        <v>x</v>
      </c>
      <c r="G119" s="107"/>
      <c r="H119" s="508"/>
      <c r="I119" s="110" t="s">
        <v>34</v>
      </c>
      <c r="J119" s="140"/>
      <c r="K119" s="461"/>
      <c r="L119" s="461"/>
      <c r="N119" s="516">
        <f t="shared" si="4"/>
        <v>0</v>
      </c>
    </row>
    <row r="120" spans="1:14" s="8" customFormat="1" ht="29.25" customHeight="1" hidden="1">
      <c r="A120" s="396">
        <v>35</v>
      </c>
      <c r="B120" s="452" t="s">
        <v>635</v>
      </c>
      <c r="C120" s="453" t="s">
        <v>636</v>
      </c>
      <c r="D120" s="396" t="s">
        <v>714</v>
      </c>
      <c r="E120" s="211" t="s">
        <v>34</v>
      </c>
      <c r="F120" s="420"/>
      <c r="G120" s="211"/>
      <c r="H120" s="511"/>
      <c r="I120" s="211">
        <f>SUM(E121:E121)</f>
        <v>489.64</v>
      </c>
      <c r="J120" s="134"/>
      <c r="K120" s="43"/>
      <c r="L120" s="43"/>
      <c r="N120" s="516">
        <f t="shared" si="4"/>
        <v>0</v>
      </c>
    </row>
    <row r="121" spans="1:16" s="8" customFormat="1" ht="80.25" customHeight="1" hidden="1">
      <c r="A121" s="396"/>
      <c r="B121" s="454"/>
      <c r="C121" s="455" t="s">
        <v>637</v>
      </c>
      <c r="D121" s="456" t="s">
        <v>715</v>
      </c>
      <c r="E121" s="457">
        <f>135.91+85.51+(114+89.2)*1.32</f>
        <v>489.64</v>
      </c>
      <c r="F121" s="503"/>
      <c r="G121" s="457"/>
      <c r="H121" s="512"/>
      <c r="I121" s="211" t="s">
        <v>34</v>
      </c>
      <c r="J121" s="134"/>
      <c r="K121" s="43"/>
      <c r="L121" s="43"/>
      <c r="N121" s="516">
        <f t="shared" si="4"/>
        <v>0</v>
      </c>
      <c r="O121" s="8">
        <f>135.91+85.51</f>
        <v>221.42</v>
      </c>
      <c r="P121" s="8">
        <f>(114+89.2)*1.32</f>
        <v>268.224</v>
      </c>
    </row>
    <row r="122" spans="1:14" s="8" customFormat="1" ht="27.75" customHeight="1">
      <c r="A122" s="844" t="s">
        <v>804</v>
      </c>
      <c r="B122" s="844"/>
      <c r="C122" s="844"/>
      <c r="D122" s="844"/>
      <c r="E122" s="844"/>
      <c r="F122" s="844"/>
      <c r="G122" s="844"/>
      <c r="H122" s="529"/>
      <c r="I122" s="211"/>
      <c r="J122" s="134"/>
      <c r="K122" s="43"/>
      <c r="L122" s="43"/>
      <c r="N122" s="516"/>
    </row>
    <row r="123" spans="1:14" s="8" customFormat="1" ht="27.75" customHeight="1">
      <c r="A123" s="25" t="s">
        <v>52</v>
      </c>
      <c r="B123" s="25" t="s">
        <v>63</v>
      </c>
      <c r="C123" s="848" t="s">
        <v>205</v>
      </c>
      <c r="D123" s="848"/>
      <c r="E123" s="848"/>
      <c r="F123" s="848"/>
      <c r="G123" s="848"/>
      <c r="H123" s="848"/>
      <c r="I123" s="848"/>
      <c r="J123" s="134"/>
      <c r="K123" s="45"/>
      <c r="L123" s="45"/>
      <c r="N123" s="516">
        <f t="shared" si="4"/>
        <v>0</v>
      </c>
    </row>
    <row r="124" spans="1:14" s="8" customFormat="1" ht="18" customHeight="1" hidden="1">
      <c r="A124" s="85" t="s">
        <v>34</v>
      </c>
      <c r="B124" s="85" t="s">
        <v>128</v>
      </c>
      <c r="C124" s="814" t="s">
        <v>142</v>
      </c>
      <c r="D124" s="814" t="s">
        <v>8</v>
      </c>
      <c r="E124" s="814"/>
      <c r="F124" s="814"/>
      <c r="G124" s="814"/>
      <c r="H124" s="814"/>
      <c r="I124" s="814"/>
      <c r="J124" s="134"/>
      <c r="K124" s="45"/>
      <c r="L124" s="45"/>
      <c r="N124" s="516">
        <f t="shared" si="4"/>
        <v>0</v>
      </c>
    </row>
    <row r="125" spans="1:14" s="8" customFormat="1" ht="20.25" customHeight="1" hidden="1">
      <c r="A125" s="109">
        <v>36</v>
      </c>
      <c r="B125" s="112" t="s">
        <v>272</v>
      </c>
      <c r="C125" s="139" t="s">
        <v>271</v>
      </c>
      <c r="D125" s="109" t="s">
        <v>199</v>
      </c>
      <c r="E125" s="110" t="s">
        <v>34</v>
      </c>
      <c r="F125" s="45"/>
      <c r="G125" s="110"/>
      <c r="H125" s="507"/>
      <c r="I125" s="100">
        <f>SUM(E126:E126)</f>
        <v>42.07</v>
      </c>
      <c r="J125" s="134"/>
      <c r="K125" s="45"/>
      <c r="L125" s="45"/>
      <c r="N125" s="516">
        <f t="shared" si="4"/>
        <v>0</v>
      </c>
    </row>
    <row r="126" spans="1:14" s="8" customFormat="1" ht="81" customHeight="1" hidden="1">
      <c r="A126" s="111"/>
      <c r="B126" s="114"/>
      <c r="C126" s="138" t="s">
        <v>722</v>
      </c>
      <c r="D126" s="111" t="s">
        <v>200</v>
      </c>
      <c r="E126" s="107">
        <v>42.07</v>
      </c>
      <c r="F126" s="502"/>
      <c r="G126" s="107"/>
      <c r="H126" s="508"/>
      <c r="I126" s="107" t="s">
        <v>34</v>
      </c>
      <c r="J126" s="134"/>
      <c r="K126" s="45"/>
      <c r="L126" s="45"/>
      <c r="N126" s="516">
        <f t="shared" si="4"/>
        <v>0</v>
      </c>
    </row>
    <row r="127" spans="1:106" s="20" customFormat="1" ht="18.75" customHeight="1">
      <c r="A127" s="85" t="s">
        <v>34</v>
      </c>
      <c r="B127" s="85" t="s">
        <v>21</v>
      </c>
      <c r="C127" s="814" t="s">
        <v>22</v>
      </c>
      <c r="D127" s="814" t="s">
        <v>8</v>
      </c>
      <c r="E127" s="814"/>
      <c r="F127" s="814"/>
      <c r="G127" s="814"/>
      <c r="H127" s="814"/>
      <c r="I127" s="814"/>
      <c r="J127" s="204"/>
      <c r="K127" s="849"/>
      <c r="L127" s="849"/>
      <c r="M127" s="8"/>
      <c r="N127" s="516">
        <f t="shared" si="4"/>
        <v>0</v>
      </c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</row>
    <row r="128" spans="1:106" s="20" customFormat="1" ht="20.25" customHeight="1" hidden="1">
      <c r="A128" s="109">
        <v>36</v>
      </c>
      <c r="B128" s="113" t="s">
        <v>286</v>
      </c>
      <c r="C128" s="139" t="s">
        <v>638</v>
      </c>
      <c r="D128" s="109" t="s">
        <v>199</v>
      </c>
      <c r="E128" s="110" t="s">
        <v>34</v>
      </c>
      <c r="F128" s="45"/>
      <c r="G128" s="110"/>
      <c r="H128" s="507"/>
      <c r="I128" s="100">
        <f>SUM(E129:E129)</f>
        <v>203.2</v>
      </c>
      <c r="J128" s="204"/>
      <c r="K128" s="132"/>
      <c r="L128" s="132"/>
      <c r="M128" s="8"/>
      <c r="N128" s="516">
        <f t="shared" si="4"/>
        <v>0</v>
      </c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  <c r="CZ128" s="79"/>
      <c r="DA128" s="79"/>
      <c r="DB128" s="79"/>
    </row>
    <row r="129" spans="1:106" s="20" customFormat="1" ht="51" customHeight="1" hidden="1">
      <c r="A129" s="111"/>
      <c r="B129" s="114"/>
      <c r="C129" s="138" t="s">
        <v>639</v>
      </c>
      <c r="D129" s="111" t="s">
        <v>200</v>
      </c>
      <c r="E129" s="107">
        <f>114+89.2</f>
        <v>203.2</v>
      </c>
      <c r="F129" s="502"/>
      <c r="G129" s="107"/>
      <c r="H129" s="508"/>
      <c r="I129" s="107" t="s">
        <v>34</v>
      </c>
      <c r="J129" s="204"/>
      <c r="K129" s="132"/>
      <c r="L129" s="132"/>
      <c r="M129" s="8"/>
      <c r="N129" s="516">
        <f t="shared" si="4"/>
        <v>0</v>
      </c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79"/>
      <c r="DB129" s="79"/>
    </row>
    <row r="130" spans="1:106" s="276" customFormat="1" ht="18" customHeight="1">
      <c r="A130" s="109">
        <v>13</v>
      </c>
      <c r="B130" s="113" t="s">
        <v>286</v>
      </c>
      <c r="C130" s="139" t="s">
        <v>719</v>
      </c>
      <c r="D130" s="109" t="s">
        <v>199</v>
      </c>
      <c r="E130" s="110" t="s">
        <v>34</v>
      </c>
      <c r="F130" s="496">
        <f>I130</f>
        <v>30</v>
      </c>
      <c r="G130" s="110"/>
      <c r="H130" s="507"/>
      <c r="I130" s="100">
        <f>SUM(E131:E131)</f>
        <v>30</v>
      </c>
      <c r="J130" s="495"/>
      <c r="K130" s="801"/>
      <c r="L130" s="801"/>
      <c r="M130" s="8"/>
      <c r="N130" s="516">
        <f aca="true" t="shared" si="5" ref="N130:N187">H130</f>
        <v>0</v>
      </c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</row>
    <row r="131" spans="1:106" s="276" customFormat="1" ht="55.5" customHeight="1" hidden="1">
      <c r="A131" s="111"/>
      <c r="B131" s="114"/>
      <c r="C131" s="138" t="s">
        <v>791</v>
      </c>
      <c r="D131" s="111" t="s">
        <v>200</v>
      </c>
      <c r="E131" s="107">
        <f>15+15</f>
        <v>30</v>
      </c>
      <c r="F131" s="496" t="str">
        <f>I131</f>
        <v>x</v>
      </c>
      <c r="G131" s="107"/>
      <c r="H131" s="508"/>
      <c r="I131" s="107" t="s">
        <v>34</v>
      </c>
      <c r="J131" s="495"/>
      <c r="K131" s="43">
        <v>24.73</v>
      </c>
      <c r="L131" s="43">
        <f>K131*I130</f>
        <v>741.9</v>
      </c>
      <c r="M131" s="8"/>
      <c r="N131" s="516">
        <f t="shared" si="5"/>
        <v>0</v>
      </c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</row>
    <row r="132" spans="1:106" s="276" customFormat="1" ht="19.5" customHeight="1">
      <c r="A132" s="109">
        <v>14</v>
      </c>
      <c r="B132" s="112" t="s">
        <v>287</v>
      </c>
      <c r="C132" s="139" t="s">
        <v>275</v>
      </c>
      <c r="D132" s="109" t="s">
        <v>199</v>
      </c>
      <c r="E132" s="110" t="s">
        <v>34</v>
      </c>
      <c r="F132" s="496">
        <f>I132</f>
        <v>44</v>
      </c>
      <c r="G132" s="110"/>
      <c r="H132" s="507"/>
      <c r="I132" s="100">
        <f>SUM(E133:E133)</f>
        <v>44</v>
      </c>
      <c r="J132" s="495"/>
      <c r="K132" s="43"/>
      <c r="L132" s="43"/>
      <c r="M132" s="8"/>
      <c r="N132" s="516">
        <f t="shared" si="5"/>
        <v>0</v>
      </c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</row>
    <row r="133" spans="1:106" s="276" customFormat="1" ht="57.75" customHeight="1" hidden="1">
      <c r="A133" s="111"/>
      <c r="B133" s="114"/>
      <c r="C133" s="138" t="s">
        <v>790</v>
      </c>
      <c r="D133" s="111" t="s">
        <v>200</v>
      </c>
      <c r="E133" s="107">
        <f>15+15+14</f>
        <v>44</v>
      </c>
      <c r="F133" s="496" t="str">
        <f>I133</f>
        <v>x</v>
      </c>
      <c r="G133" s="107"/>
      <c r="H133" s="508"/>
      <c r="I133" s="107" t="s">
        <v>34</v>
      </c>
      <c r="J133" s="495"/>
      <c r="K133" s="43"/>
      <c r="L133" s="43"/>
      <c r="M133" s="8"/>
      <c r="N133" s="516">
        <f t="shared" si="5"/>
        <v>0</v>
      </c>
      <c r="O133" s="79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</row>
    <row r="134" spans="1:106" s="20" customFormat="1" ht="22.5" customHeight="1" hidden="1">
      <c r="A134" s="109">
        <v>38</v>
      </c>
      <c r="B134" s="112" t="s">
        <v>287</v>
      </c>
      <c r="C134" s="139" t="s">
        <v>276</v>
      </c>
      <c r="D134" s="109" t="s">
        <v>199</v>
      </c>
      <c r="E134" s="110" t="s">
        <v>34</v>
      </c>
      <c r="F134" s="45"/>
      <c r="G134" s="110"/>
      <c r="H134" s="507"/>
      <c r="I134" s="100">
        <f>SUM(E135:E135)</f>
        <v>197.75</v>
      </c>
      <c r="J134" s="204"/>
      <c r="K134" s="46"/>
      <c r="L134" s="46"/>
      <c r="M134" s="8"/>
      <c r="N134" s="516">
        <f t="shared" si="5"/>
        <v>0</v>
      </c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/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9"/>
      <c r="CQ134" s="79"/>
      <c r="CR134" s="79"/>
      <c r="CS134" s="79"/>
      <c r="CT134" s="79"/>
      <c r="CU134" s="79"/>
      <c r="CV134" s="79"/>
      <c r="CW134" s="79"/>
      <c r="CX134" s="79"/>
      <c r="CY134" s="79"/>
      <c r="CZ134" s="79"/>
      <c r="DA134" s="79"/>
      <c r="DB134" s="79"/>
    </row>
    <row r="135" spans="1:106" s="20" customFormat="1" ht="45" customHeight="1" hidden="1">
      <c r="A135" s="111"/>
      <c r="B135" s="114"/>
      <c r="C135" s="138" t="s">
        <v>641</v>
      </c>
      <c r="D135" s="111" t="s">
        <v>200</v>
      </c>
      <c r="E135" s="107">
        <f>121.4+76.35</f>
        <v>197.75</v>
      </c>
      <c r="F135" s="502"/>
      <c r="G135" s="107"/>
      <c r="H135" s="508"/>
      <c r="I135" s="107" t="s">
        <v>34</v>
      </c>
      <c r="J135" s="204"/>
      <c r="K135" s="46"/>
      <c r="L135" s="46"/>
      <c r="M135" s="8"/>
      <c r="N135" s="516">
        <f t="shared" si="5"/>
        <v>0</v>
      </c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/>
      <c r="CA135" s="79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79"/>
      <c r="CY135" s="79"/>
      <c r="CZ135" s="79"/>
      <c r="DA135" s="79"/>
      <c r="DB135" s="79"/>
    </row>
    <row r="136" spans="1:106" s="20" customFormat="1" ht="17.25" customHeight="1">
      <c r="A136" s="85" t="s">
        <v>34</v>
      </c>
      <c r="B136" s="85" t="s">
        <v>455</v>
      </c>
      <c r="C136" s="814" t="s">
        <v>456</v>
      </c>
      <c r="D136" s="814" t="s">
        <v>8</v>
      </c>
      <c r="E136" s="814"/>
      <c r="F136" s="814"/>
      <c r="G136" s="814"/>
      <c r="H136" s="814"/>
      <c r="I136" s="814"/>
      <c r="J136" s="204"/>
      <c r="K136" s="46"/>
      <c r="L136" s="46"/>
      <c r="M136" s="8"/>
      <c r="N136" s="516">
        <f t="shared" si="5"/>
        <v>0</v>
      </c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/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 s="79"/>
      <c r="CZ136" s="79"/>
      <c r="DA136" s="79"/>
      <c r="DB136" s="79"/>
    </row>
    <row r="137" spans="1:106" s="20" customFormat="1" ht="22.5" customHeight="1">
      <c r="A137" s="109">
        <v>15</v>
      </c>
      <c r="B137" s="112" t="s">
        <v>457</v>
      </c>
      <c r="C137" s="139" t="s">
        <v>458</v>
      </c>
      <c r="D137" s="109" t="s">
        <v>199</v>
      </c>
      <c r="E137" s="110" t="s">
        <v>34</v>
      </c>
      <c r="F137" s="496">
        <f>I137</f>
        <v>44</v>
      </c>
      <c r="G137" s="110"/>
      <c r="H137" s="507"/>
      <c r="I137" s="110">
        <f>E138</f>
        <v>44</v>
      </c>
      <c r="J137" s="204"/>
      <c r="K137" s="46"/>
      <c r="L137" s="46"/>
      <c r="M137" s="8"/>
      <c r="N137" s="516">
        <f t="shared" si="5"/>
        <v>0</v>
      </c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9"/>
      <c r="CQ137" s="79"/>
      <c r="CR137" s="79"/>
      <c r="CS137" s="79"/>
      <c r="CT137" s="79"/>
      <c r="CU137" s="79"/>
      <c r="CV137" s="79"/>
      <c r="CW137" s="79"/>
      <c r="CX137" s="79"/>
      <c r="CY137" s="79"/>
      <c r="CZ137" s="79"/>
      <c r="DA137" s="79"/>
      <c r="DB137" s="79"/>
    </row>
    <row r="138" spans="1:106" s="20" customFormat="1" ht="46.5" customHeight="1" hidden="1">
      <c r="A138" s="111"/>
      <c r="B138" s="114"/>
      <c r="C138" s="138" t="s">
        <v>792</v>
      </c>
      <c r="D138" s="111" t="s">
        <v>200</v>
      </c>
      <c r="E138" s="107">
        <v>44</v>
      </c>
      <c r="F138" s="496" t="str">
        <f>I138</f>
        <v>x</v>
      </c>
      <c r="G138" s="107"/>
      <c r="H138" s="508"/>
      <c r="I138" s="107" t="s">
        <v>34</v>
      </c>
      <c r="J138" s="204"/>
      <c r="K138" s="46"/>
      <c r="L138" s="46"/>
      <c r="M138" s="8"/>
      <c r="N138" s="516">
        <f t="shared" si="5"/>
        <v>0</v>
      </c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/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  <c r="CZ138" s="79"/>
      <c r="DA138" s="79"/>
      <c r="DB138" s="79"/>
    </row>
    <row r="139" spans="1:106" s="20" customFormat="1" ht="27.75" customHeight="1">
      <c r="A139" s="844" t="s">
        <v>806</v>
      </c>
      <c r="B139" s="844"/>
      <c r="C139" s="844"/>
      <c r="D139" s="844"/>
      <c r="E139" s="844"/>
      <c r="F139" s="844"/>
      <c r="G139" s="844"/>
      <c r="H139" s="529"/>
      <c r="I139" s="107"/>
      <c r="J139" s="204"/>
      <c r="K139" s="46"/>
      <c r="L139" s="46"/>
      <c r="M139" s="8"/>
      <c r="N139" s="516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79"/>
      <c r="CQ139" s="79"/>
      <c r="CR139" s="79"/>
      <c r="CS139" s="79"/>
      <c r="CT139" s="79"/>
      <c r="CU139" s="79"/>
      <c r="CV139" s="79"/>
      <c r="CW139" s="79"/>
      <c r="CX139" s="79"/>
      <c r="CY139" s="79"/>
      <c r="CZ139" s="79"/>
      <c r="DA139" s="79"/>
      <c r="DB139" s="79"/>
    </row>
    <row r="140" spans="1:106" s="51" customFormat="1" ht="26.25">
      <c r="A140" s="25" t="s">
        <v>53</v>
      </c>
      <c r="B140" s="25" t="s">
        <v>64</v>
      </c>
      <c r="C140" s="848" t="s">
        <v>206</v>
      </c>
      <c r="D140" s="848" t="s">
        <v>8</v>
      </c>
      <c r="E140" s="848"/>
      <c r="F140" s="848"/>
      <c r="G140" s="848"/>
      <c r="H140" s="848"/>
      <c r="I140" s="848"/>
      <c r="J140" s="495"/>
      <c r="K140" s="46"/>
      <c r="L140" s="46"/>
      <c r="M140" s="527"/>
      <c r="N140" s="516">
        <f t="shared" si="5"/>
        <v>0</v>
      </c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</row>
    <row r="141" spans="1:14" s="8" customFormat="1" ht="19.5" customHeight="1" hidden="1">
      <c r="A141" s="85" t="s">
        <v>34</v>
      </c>
      <c r="B141" s="85" t="s">
        <v>23</v>
      </c>
      <c r="C141" s="814" t="s">
        <v>190</v>
      </c>
      <c r="D141" s="814" t="s">
        <v>8</v>
      </c>
      <c r="E141" s="814"/>
      <c r="F141" s="814"/>
      <c r="G141" s="814"/>
      <c r="H141" s="814"/>
      <c r="I141" s="814"/>
      <c r="J141" s="144"/>
      <c r="K141" s="849"/>
      <c r="L141" s="849"/>
      <c r="M141" s="528"/>
      <c r="N141" s="516">
        <f t="shared" si="5"/>
        <v>0</v>
      </c>
    </row>
    <row r="142" spans="1:14" s="11" customFormat="1" ht="15.75" customHeight="1" hidden="1">
      <c r="A142" s="109">
        <v>41</v>
      </c>
      <c r="B142" s="113" t="s">
        <v>0</v>
      </c>
      <c r="C142" s="139" t="s">
        <v>79</v>
      </c>
      <c r="D142" s="109" t="s">
        <v>199</v>
      </c>
      <c r="E142" s="110" t="s">
        <v>34</v>
      </c>
      <c r="F142" s="45"/>
      <c r="G142" s="110"/>
      <c r="H142" s="507"/>
      <c r="I142" s="110">
        <f>E143</f>
        <v>0</v>
      </c>
      <c r="J142" s="143"/>
      <c r="K142" s="801"/>
      <c r="L142" s="801"/>
      <c r="M142" s="528"/>
      <c r="N142" s="516">
        <f t="shared" si="5"/>
        <v>0</v>
      </c>
    </row>
    <row r="143" spans="1:14" s="8" customFormat="1" ht="57" customHeight="1" hidden="1">
      <c r="A143" s="109"/>
      <c r="B143" s="113"/>
      <c r="C143" s="138" t="s">
        <v>642</v>
      </c>
      <c r="D143" s="111" t="s">
        <v>200</v>
      </c>
      <c r="E143" s="107">
        <v>0</v>
      </c>
      <c r="F143" s="502"/>
      <c r="G143" s="107"/>
      <c r="H143" s="508"/>
      <c r="I143" s="107" t="s">
        <v>34</v>
      </c>
      <c r="J143" s="144"/>
      <c r="K143" s="43">
        <v>14.94</v>
      </c>
      <c r="L143" s="43">
        <f>K143*I142</f>
        <v>0</v>
      </c>
      <c r="M143" s="527"/>
      <c r="N143" s="516">
        <f t="shared" si="5"/>
        <v>0</v>
      </c>
    </row>
    <row r="144" spans="1:14" s="8" customFormat="1" ht="39" hidden="1">
      <c r="A144" s="111" t="s">
        <v>310</v>
      </c>
      <c r="B144" s="114" t="s">
        <v>0</v>
      </c>
      <c r="C144" s="138" t="s">
        <v>643</v>
      </c>
      <c r="D144" s="111" t="s">
        <v>200</v>
      </c>
      <c r="E144" s="107">
        <v>0</v>
      </c>
      <c r="F144" s="502"/>
      <c r="G144" s="107"/>
      <c r="H144" s="508"/>
      <c r="I144" s="107">
        <f>E144</f>
        <v>0</v>
      </c>
      <c r="J144" s="144"/>
      <c r="K144" s="43"/>
      <c r="L144" s="43"/>
      <c r="M144" s="528"/>
      <c r="N144" s="516">
        <f t="shared" si="5"/>
        <v>0</v>
      </c>
    </row>
    <row r="145" spans="1:14" s="8" customFormat="1" ht="18.75" customHeight="1" hidden="1">
      <c r="A145" s="109">
        <v>44</v>
      </c>
      <c r="B145" s="112" t="s">
        <v>130</v>
      </c>
      <c r="C145" s="139" t="s">
        <v>191</v>
      </c>
      <c r="D145" s="109" t="s">
        <v>199</v>
      </c>
      <c r="E145" s="110" t="s">
        <v>34</v>
      </c>
      <c r="F145" s="45"/>
      <c r="G145" s="110"/>
      <c r="H145" s="507"/>
      <c r="I145" s="110">
        <f>E146</f>
        <v>0</v>
      </c>
      <c r="J145" s="144"/>
      <c r="K145" s="43"/>
      <c r="L145" s="43"/>
      <c r="M145" s="528"/>
      <c r="N145" s="516">
        <f t="shared" si="5"/>
        <v>0</v>
      </c>
    </row>
    <row r="146" spans="1:14" s="8" customFormat="1" ht="80.25" customHeight="1" hidden="1">
      <c r="A146" s="111"/>
      <c r="B146" s="114"/>
      <c r="C146" s="138" t="s">
        <v>493</v>
      </c>
      <c r="D146" s="111" t="s">
        <v>200</v>
      </c>
      <c r="E146" s="107">
        <v>0</v>
      </c>
      <c r="F146" s="502"/>
      <c r="G146" s="107"/>
      <c r="H146" s="508"/>
      <c r="I146" s="107" t="s">
        <v>34</v>
      </c>
      <c r="J146" s="144"/>
      <c r="K146" s="43"/>
      <c r="L146" s="43"/>
      <c r="N146" s="516">
        <f t="shared" si="5"/>
        <v>0</v>
      </c>
    </row>
    <row r="147" spans="1:14" s="8" customFormat="1" ht="18.75" customHeight="1" hidden="1">
      <c r="A147" s="85" t="s">
        <v>34</v>
      </c>
      <c r="B147" s="85" t="s">
        <v>645</v>
      </c>
      <c r="C147" s="814" t="s">
        <v>644</v>
      </c>
      <c r="D147" s="814" t="s">
        <v>8</v>
      </c>
      <c r="E147" s="814"/>
      <c r="F147" s="814"/>
      <c r="G147" s="814"/>
      <c r="H147" s="814"/>
      <c r="I147" s="814"/>
      <c r="J147" s="144"/>
      <c r="K147" s="43"/>
      <c r="L147" s="43"/>
      <c r="N147" s="516">
        <f t="shared" si="5"/>
        <v>0</v>
      </c>
    </row>
    <row r="148" spans="1:14" s="8" customFormat="1" ht="21" customHeight="1" hidden="1">
      <c r="A148" s="109">
        <v>42</v>
      </c>
      <c r="B148" s="113" t="s">
        <v>221</v>
      </c>
      <c r="C148" s="139" t="s">
        <v>647</v>
      </c>
      <c r="D148" s="109" t="s">
        <v>199</v>
      </c>
      <c r="E148" s="110" t="s">
        <v>34</v>
      </c>
      <c r="F148" s="45"/>
      <c r="G148" s="110"/>
      <c r="H148" s="507"/>
      <c r="I148" s="110">
        <f>E149</f>
        <v>45.4</v>
      </c>
      <c r="J148" s="144"/>
      <c r="K148" s="43"/>
      <c r="L148" s="43"/>
      <c r="N148" s="516">
        <f t="shared" si="5"/>
        <v>0</v>
      </c>
    </row>
    <row r="149" spans="1:14" s="8" customFormat="1" ht="42.75" customHeight="1" hidden="1">
      <c r="A149" s="109"/>
      <c r="B149" s="113"/>
      <c r="C149" s="138" t="s">
        <v>648</v>
      </c>
      <c r="D149" s="111" t="s">
        <v>200</v>
      </c>
      <c r="E149" s="107">
        <f>25.9+19.5</f>
        <v>45.4</v>
      </c>
      <c r="F149" s="502"/>
      <c r="G149" s="107"/>
      <c r="H149" s="508"/>
      <c r="I149" s="107" t="s">
        <v>34</v>
      </c>
      <c r="J149" s="144"/>
      <c r="K149" s="43"/>
      <c r="L149" s="43"/>
      <c r="N149" s="516">
        <f t="shared" si="5"/>
        <v>0</v>
      </c>
    </row>
    <row r="150" spans="1:14" s="11" customFormat="1" ht="18" customHeight="1">
      <c r="A150" s="85" t="s">
        <v>34</v>
      </c>
      <c r="B150" s="85" t="s">
        <v>219</v>
      </c>
      <c r="C150" s="814" t="s">
        <v>220</v>
      </c>
      <c r="D150" s="814" t="s">
        <v>8</v>
      </c>
      <c r="E150" s="814"/>
      <c r="F150" s="814"/>
      <c r="G150" s="814"/>
      <c r="H150" s="814"/>
      <c r="I150" s="814"/>
      <c r="J150" s="145"/>
      <c r="K150" s="45"/>
      <c r="L150" s="45"/>
      <c r="M150" s="8"/>
      <c r="N150" s="516">
        <f t="shared" si="5"/>
        <v>0</v>
      </c>
    </row>
    <row r="151" spans="1:14" s="11" customFormat="1" ht="18.75" customHeight="1">
      <c r="A151" s="109">
        <v>16</v>
      </c>
      <c r="B151" s="113" t="s">
        <v>221</v>
      </c>
      <c r="C151" s="139" t="s">
        <v>723</v>
      </c>
      <c r="D151" s="109" t="s">
        <v>771</v>
      </c>
      <c r="E151" s="110" t="s">
        <v>34</v>
      </c>
      <c r="F151" s="496">
        <f>I151</f>
        <v>1</v>
      </c>
      <c r="G151" s="110"/>
      <c r="H151" s="507"/>
      <c r="I151" s="110">
        <f>E152</f>
        <v>1</v>
      </c>
      <c r="J151" s="145"/>
      <c r="K151" s="45"/>
      <c r="L151" s="45"/>
      <c r="M151" s="8"/>
      <c r="N151" s="516">
        <f t="shared" si="5"/>
        <v>0</v>
      </c>
    </row>
    <row r="152" spans="1:14" s="11" customFormat="1" ht="51" customHeight="1" hidden="1">
      <c r="A152" s="109"/>
      <c r="B152" s="113"/>
      <c r="C152" s="138" t="s">
        <v>773</v>
      </c>
      <c r="D152" s="111" t="s">
        <v>771</v>
      </c>
      <c r="E152" s="107">
        <v>1</v>
      </c>
      <c r="F152" s="496" t="str">
        <f>I152</f>
        <v>x</v>
      </c>
      <c r="G152" s="107"/>
      <c r="H152" s="508"/>
      <c r="I152" s="107" t="s">
        <v>34</v>
      </c>
      <c r="J152" s="145"/>
      <c r="K152" s="45"/>
      <c r="L152" s="45"/>
      <c r="M152" s="8"/>
      <c r="N152" s="516">
        <f t="shared" si="5"/>
        <v>0</v>
      </c>
    </row>
    <row r="153" spans="1:14" s="11" customFormat="1" ht="31.5" customHeight="1">
      <c r="A153" s="844" t="s">
        <v>808</v>
      </c>
      <c r="B153" s="844"/>
      <c r="C153" s="844"/>
      <c r="D153" s="844"/>
      <c r="E153" s="844"/>
      <c r="F153" s="844"/>
      <c r="G153" s="844"/>
      <c r="H153" s="529"/>
      <c r="I153" s="107"/>
      <c r="J153" s="145"/>
      <c r="K153" s="45"/>
      <c r="L153" s="45"/>
      <c r="M153" s="8"/>
      <c r="N153" s="516"/>
    </row>
    <row r="154" spans="1:14" s="11" customFormat="1" ht="29.25" customHeight="1">
      <c r="A154" s="25" t="s">
        <v>65</v>
      </c>
      <c r="B154" s="25" t="s">
        <v>66</v>
      </c>
      <c r="C154" s="848" t="s">
        <v>207</v>
      </c>
      <c r="D154" s="848" t="s">
        <v>8</v>
      </c>
      <c r="E154" s="848"/>
      <c r="F154" s="848"/>
      <c r="G154" s="848"/>
      <c r="H154" s="848"/>
      <c r="I154" s="848"/>
      <c r="J154" s="145"/>
      <c r="K154" s="45"/>
      <c r="L154" s="45"/>
      <c r="M154" s="8"/>
      <c r="N154" s="516">
        <f t="shared" si="5"/>
        <v>0</v>
      </c>
    </row>
    <row r="155" spans="1:14" s="11" customFormat="1" ht="18" customHeight="1">
      <c r="A155" s="85" t="s">
        <v>34</v>
      </c>
      <c r="B155" s="85" t="s">
        <v>132</v>
      </c>
      <c r="C155" s="814" t="s">
        <v>131</v>
      </c>
      <c r="D155" s="814" t="s">
        <v>8</v>
      </c>
      <c r="E155" s="814"/>
      <c r="F155" s="814"/>
      <c r="G155" s="814"/>
      <c r="H155" s="814"/>
      <c r="I155" s="814"/>
      <c r="J155" s="145"/>
      <c r="K155" s="45"/>
      <c r="L155" s="45"/>
      <c r="M155" s="8"/>
      <c r="N155" s="516">
        <f t="shared" si="5"/>
        <v>0</v>
      </c>
    </row>
    <row r="156" spans="1:14" s="11" customFormat="1" ht="18" customHeight="1">
      <c r="A156" s="109">
        <v>17</v>
      </c>
      <c r="B156" s="112" t="s">
        <v>133</v>
      </c>
      <c r="C156" s="139" t="s">
        <v>192</v>
      </c>
      <c r="D156" s="109" t="s">
        <v>9</v>
      </c>
      <c r="E156" s="110" t="s">
        <v>34</v>
      </c>
      <c r="F156" s="496">
        <f>I156</f>
        <v>3</v>
      </c>
      <c r="G156" s="110"/>
      <c r="H156" s="507"/>
      <c r="I156" s="110">
        <f>E157</f>
        <v>3</v>
      </c>
      <c r="J156" s="145"/>
      <c r="K156" s="45"/>
      <c r="L156" s="45"/>
      <c r="M156" s="8"/>
      <c r="N156" s="516">
        <f t="shared" si="5"/>
        <v>0</v>
      </c>
    </row>
    <row r="157" spans="1:14" s="11" customFormat="1" ht="40.5" customHeight="1" hidden="1">
      <c r="A157" s="111"/>
      <c r="B157" s="114"/>
      <c r="C157" s="138" t="s">
        <v>724</v>
      </c>
      <c r="D157" s="111" t="s">
        <v>9</v>
      </c>
      <c r="E157" s="107">
        <v>3</v>
      </c>
      <c r="F157" s="496" t="str">
        <f>I157</f>
        <v>x</v>
      </c>
      <c r="G157" s="107"/>
      <c r="H157" s="507"/>
      <c r="I157" s="107" t="s">
        <v>34</v>
      </c>
      <c r="J157" s="145"/>
      <c r="K157" s="45"/>
      <c r="L157" s="45"/>
      <c r="N157" s="516">
        <f t="shared" si="5"/>
        <v>0</v>
      </c>
    </row>
    <row r="158" spans="1:14" s="11" customFormat="1" ht="18" customHeight="1">
      <c r="A158" s="109">
        <v>18</v>
      </c>
      <c r="B158" s="112" t="s">
        <v>193</v>
      </c>
      <c r="C158" s="139" t="s">
        <v>279</v>
      </c>
      <c r="D158" s="109" t="s">
        <v>9</v>
      </c>
      <c r="E158" s="110" t="s">
        <v>34</v>
      </c>
      <c r="F158" s="496">
        <f>I158</f>
        <v>5</v>
      </c>
      <c r="G158" s="110"/>
      <c r="H158" s="507"/>
      <c r="I158" s="110">
        <f>E159</f>
        <v>5</v>
      </c>
      <c r="J158" s="145"/>
      <c r="K158" s="45"/>
      <c r="L158" s="45"/>
      <c r="N158" s="516">
        <f t="shared" si="5"/>
        <v>0</v>
      </c>
    </row>
    <row r="159" spans="1:14" s="11" customFormat="1" ht="42.75" customHeight="1" hidden="1">
      <c r="A159" s="109"/>
      <c r="B159" s="114"/>
      <c r="C159" s="138" t="s">
        <v>725</v>
      </c>
      <c r="D159" s="111" t="s">
        <v>9</v>
      </c>
      <c r="E159" s="107">
        <v>5</v>
      </c>
      <c r="F159" s="496" t="str">
        <f>I159</f>
        <v>x</v>
      </c>
      <c r="G159" s="107"/>
      <c r="H159" s="508"/>
      <c r="I159" s="110" t="s">
        <v>34</v>
      </c>
      <c r="J159" s="145"/>
      <c r="K159" s="45"/>
      <c r="L159" s="45"/>
      <c r="N159" s="516">
        <f t="shared" si="5"/>
        <v>0</v>
      </c>
    </row>
    <row r="160" spans="1:14" s="11" customFormat="1" ht="18" customHeight="1" hidden="1">
      <c r="A160" s="85" t="s">
        <v>34</v>
      </c>
      <c r="B160" s="85" t="s">
        <v>194</v>
      </c>
      <c r="C160" s="814" t="s">
        <v>195</v>
      </c>
      <c r="D160" s="814" t="s">
        <v>8</v>
      </c>
      <c r="E160" s="814"/>
      <c r="F160" s="814"/>
      <c r="G160" s="814"/>
      <c r="H160" s="814"/>
      <c r="I160" s="814"/>
      <c r="J160" s="145"/>
      <c r="K160" s="45"/>
      <c r="L160" s="45"/>
      <c r="N160" s="516">
        <f t="shared" si="5"/>
        <v>0</v>
      </c>
    </row>
    <row r="161" spans="1:14" s="11" customFormat="1" ht="18.75" customHeight="1" hidden="1">
      <c r="A161" s="109">
        <v>48</v>
      </c>
      <c r="B161" s="112" t="s">
        <v>196</v>
      </c>
      <c r="C161" s="139" t="s">
        <v>281</v>
      </c>
      <c r="D161" s="109" t="s">
        <v>11</v>
      </c>
      <c r="E161" s="110" t="s">
        <v>34</v>
      </c>
      <c r="F161" s="45"/>
      <c r="G161" s="110"/>
      <c r="H161" s="507"/>
      <c r="I161" s="110">
        <f>E162</f>
        <v>0</v>
      </c>
      <c r="J161" s="145"/>
      <c r="K161" s="45"/>
      <c r="L161" s="45"/>
      <c r="N161" s="516">
        <f t="shared" si="5"/>
        <v>0</v>
      </c>
    </row>
    <row r="162" spans="1:14" s="11" customFormat="1" ht="64.5" customHeight="1" hidden="1">
      <c r="A162" s="109"/>
      <c r="B162" s="114"/>
      <c r="C162" s="138" t="s">
        <v>463</v>
      </c>
      <c r="D162" s="111" t="s">
        <v>11</v>
      </c>
      <c r="E162" s="107">
        <v>0</v>
      </c>
      <c r="F162" s="502"/>
      <c r="G162" s="107"/>
      <c r="H162" s="508"/>
      <c r="I162" s="110" t="s">
        <v>34</v>
      </c>
      <c r="J162" s="145"/>
      <c r="K162" s="45"/>
      <c r="L162" s="45"/>
      <c r="N162" s="516">
        <f t="shared" si="5"/>
        <v>0</v>
      </c>
    </row>
    <row r="163" spans="1:14" s="11" customFormat="1" ht="38.25" customHeight="1">
      <c r="A163" s="844" t="s">
        <v>809</v>
      </c>
      <c r="B163" s="844"/>
      <c r="C163" s="844"/>
      <c r="D163" s="844"/>
      <c r="E163" s="844"/>
      <c r="F163" s="844"/>
      <c r="G163" s="844"/>
      <c r="H163" s="529"/>
      <c r="I163" s="110"/>
      <c r="J163" s="145"/>
      <c r="K163" s="45"/>
      <c r="L163" s="45"/>
      <c r="N163" s="516"/>
    </row>
    <row r="164" spans="1:14" s="11" customFormat="1" ht="30" customHeight="1">
      <c r="A164" s="25" t="s">
        <v>67</v>
      </c>
      <c r="B164" s="25" t="s">
        <v>68</v>
      </c>
      <c r="C164" s="848" t="s">
        <v>208</v>
      </c>
      <c r="D164" s="848"/>
      <c r="E164" s="848"/>
      <c r="F164" s="848"/>
      <c r="G164" s="848"/>
      <c r="H164" s="848"/>
      <c r="I164" s="848"/>
      <c r="J164" s="145"/>
      <c r="K164" s="45"/>
      <c r="L164" s="45"/>
      <c r="N164" s="516">
        <f t="shared" si="5"/>
        <v>0</v>
      </c>
    </row>
    <row r="165" spans="1:14" s="11" customFormat="1" ht="18" customHeight="1">
      <c r="A165" s="85" t="s">
        <v>34</v>
      </c>
      <c r="B165" s="85" t="s">
        <v>24</v>
      </c>
      <c r="C165" s="814" t="s">
        <v>25</v>
      </c>
      <c r="D165" s="814" t="s">
        <v>8</v>
      </c>
      <c r="E165" s="814"/>
      <c r="F165" s="814"/>
      <c r="G165" s="814"/>
      <c r="H165" s="814"/>
      <c r="I165" s="814"/>
      <c r="J165" s="145"/>
      <c r="K165" s="45"/>
      <c r="L165" s="45"/>
      <c r="N165" s="516">
        <f t="shared" si="5"/>
        <v>0</v>
      </c>
    </row>
    <row r="166" spans="1:14" s="11" customFormat="1" ht="29.25" customHeight="1">
      <c r="A166" s="109">
        <v>19</v>
      </c>
      <c r="B166" s="113" t="s">
        <v>649</v>
      </c>
      <c r="C166" s="142" t="s">
        <v>650</v>
      </c>
      <c r="D166" s="109" t="s">
        <v>11</v>
      </c>
      <c r="E166" s="110" t="s">
        <v>34</v>
      </c>
      <c r="F166" s="496">
        <f>I166</f>
        <v>445</v>
      </c>
      <c r="G166" s="110"/>
      <c r="H166" s="507"/>
      <c r="I166" s="110">
        <f>SUM(E167:E167)</f>
        <v>445</v>
      </c>
      <c r="J166" s="145"/>
      <c r="K166" s="45"/>
      <c r="L166" s="45"/>
      <c r="N166" s="516">
        <f t="shared" si="5"/>
        <v>0</v>
      </c>
    </row>
    <row r="167" spans="1:14" s="11" customFormat="1" ht="57.75" customHeight="1" hidden="1">
      <c r="A167" s="109"/>
      <c r="B167" s="114"/>
      <c r="C167" s="138" t="s">
        <v>774</v>
      </c>
      <c r="D167" s="111" t="s">
        <v>11</v>
      </c>
      <c r="E167" s="107">
        <v>445</v>
      </c>
      <c r="F167" s="496" t="str">
        <f>I167</f>
        <v>x</v>
      </c>
      <c r="G167" s="107"/>
      <c r="H167" s="508"/>
      <c r="I167" s="110" t="s">
        <v>34</v>
      </c>
      <c r="J167" s="145"/>
      <c r="K167" s="45"/>
      <c r="L167" s="45"/>
      <c r="N167" s="516">
        <f t="shared" si="5"/>
        <v>0</v>
      </c>
    </row>
    <row r="168" spans="1:14" s="8" customFormat="1" ht="18" customHeight="1">
      <c r="A168" s="85" t="s">
        <v>34</v>
      </c>
      <c r="B168" s="85" t="s">
        <v>26</v>
      </c>
      <c r="C168" s="814" t="s">
        <v>27</v>
      </c>
      <c r="D168" s="814" t="s">
        <v>8</v>
      </c>
      <c r="E168" s="814"/>
      <c r="F168" s="814"/>
      <c r="G168" s="814"/>
      <c r="H168" s="814"/>
      <c r="I168" s="814"/>
      <c r="J168" s="144"/>
      <c r="K168" s="43">
        <v>90.78</v>
      </c>
      <c r="L168" s="43">
        <f>K168*I166</f>
        <v>40397.1</v>
      </c>
      <c r="M168" s="11"/>
      <c r="N168" s="516">
        <f t="shared" si="5"/>
        <v>0</v>
      </c>
    </row>
    <row r="169" spans="1:16" s="8" customFormat="1" ht="18" customHeight="1">
      <c r="A169" s="109">
        <v>20</v>
      </c>
      <c r="B169" s="113" t="s">
        <v>99</v>
      </c>
      <c r="C169" s="139" t="s">
        <v>100</v>
      </c>
      <c r="D169" s="109" t="s">
        <v>199</v>
      </c>
      <c r="E169" s="110" t="s">
        <v>34</v>
      </c>
      <c r="F169" s="496">
        <f>I169</f>
        <v>520.84</v>
      </c>
      <c r="G169" s="110"/>
      <c r="H169" s="507"/>
      <c r="I169" s="110">
        <f>E170</f>
        <v>520.84</v>
      </c>
      <c r="J169" s="144"/>
      <c r="K169" s="45"/>
      <c r="L169" s="45"/>
      <c r="M169" s="11"/>
      <c r="N169" s="516">
        <f t="shared" si="5"/>
        <v>0</v>
      </c>
      <c r="O169" s="48"/>
      <c r="P169" s="48"/>
    </row>
    <row r="170" spans="1:14" s="13" customFormat="1" ht="77.25" customHeight="1" hidden="1">
      <c r="A170" s="109" t="s">
        <v>8</v>
      </c>
      <c r="B170" s="115"/>
      <c r="C170" s="138" t="s">
        <v>775</v>
      </c>
      <c r="D170" s="111" t="s">
        <v>200</v>
      </c>
      <c r="E170" s="107">
        <v>520.84</v>
      </c>
      <c r="F170" s="496" t="str">
        <f>I170</f>
        <v>x</v>
      </c>
      <c r="G170" s="107"/>
      <c r="H170" s="507"/>
      <c r="I170" s="110" t="s">
        <v>34</v>
      </c>
      <c r="J170" s="146"/>
      <c r="K170" s="43">
        <v>72.3</v>
      </c>
      <c r="L170" s="43" t="e">
        <f>K170*#REF!</f>
        <v>#REF!</v>
      </c>
      <c r="M170" s="11"/>
      <c r="N170" s="516">
        <f t="shared" si="5"/>
        <v>0</v>
      </c>
    </row>
    <row r="171" spans="1:14" s="8" customFormat="1" ht="19.5" customHeight="1">
      <c r="A171" s="109">
        <v>21</v>
      </c>
      <c r="B171" s="113" t="s">
        <v>1</v>
      </c>
      <c r="C171" s="139" t="s">
        <v>285</v>
      </c>
      <c r="D171" s="109" t="s">
        <v>199</v>
      </c>
      <c r="E171" s="110" t="s">
        <v>34</v>
      </c>
      <c r="F171" s="496">
        <f>I171</f>
        <v>156.21</v>
      </c>
      <c r="G171" s="110"/>
      <c r="H171" s="507"/>
      <c r="I171" s="110">
        <f>E172</f>
        <v>156.21</v>
      </c>
      <c r="J171" s="144"/>
      <c r="K171" s="45"/>
      <c r="L171" s="45"/>
      <c r="M171" s="11"/>
      <c r="N171" s="516">
        <f t="shared" si="5"/>
        <v>0</v>
      </c>
    </row>
    <row r="172" spans="1:14" s="8" customFormat="1" ht="57" customHeight="1" hidden="1">
      <c r="A172" s="109" t="s">
        <v>8</v>
      </c>
      <c r="B172" s="115"/>
      <c r="C172" s="138" t="s">
        <v>778</v>
      </c>
      <c r="D172" s="111" t="s">
        <v>200</v>
      </c>
      <c r="E172" s="107">
        <v>156.21</v>
      </c>
      <c r="F172" s="496" t="str">
        <f>I172</f>
        <v>x</v>
      </c>
      <c r="G172" s="107"/>
      <c r="H172" s="508"/>
      <c r="I172" s="110" t="s">
        <v>34</v>
      </c>
      <c r="J172" s="144"/>
      <c r="K172" s="801"/>
      <c r="L172" s="801"/>
      <c r="N172" s="516">
        <f t="shared" si="5"/>
        <v>0</v>
      </c>
    </row>
    <row r="173" spans="1:14" s="8" customFormat="1" ht="18" customHeight="1">
      <c r="A173" s="85" t="s">
        <v>34</v>
      </c>
      <c r="B173" s="85" t="s">
        <v>28</v>
      </c>
      <c r="C173" s="814" t="s">
        <v>29</v>
      </c>
      <c r="D173" s="814" t="s">
        <v>8</v>
      </c>
      <c r="E173" s="814"/>
      <c r="F173" s="814"/>
      <c r="G173" s="814"/>
      <c r="H173" s="814"/>
      <c r="I173" s="814"/>
      <c r="J173" s="144"/>
      <c r="K173" s="461"/>
      <c r="L173" s="461"/>
      <c r="N173" s="516">
        <f t="shared" si="5"/>
        <v>0</v>
      </c>
    </row>
    <row r="174" spans="1:14" s="8" customFormat="1" ht="17.25" customHeight="1">
      <c r="A174" s="109">
        <v>22</v>
      </c>
      <c r="B174" s="113" t="s">
        <v>2</v>
      </c>
      <c r="C174" s="139" t="s">
        <v>134</v>
      </c>
      <c r="D174" s="109" t="s">
        <v>11</v>
      </c>
      <c r="E174" s="110" t="s">
        <v>34</v>
      </c>
      <c r="F174" s="496">
        <f>I174</f>
        <v>465</v>
      </c>
      <c r="G174" s="110"/>
      <c r="H174" s="507"/>
      <c r="I174" s="110">
        <f>E175</f>
        <v>465</v>
      </c>
      <c r="J174" s="144"/>
      <c r="K174" s="461"/>
      <c r="L174" s="461"/>
      <c r="N174" s="516">
        <f t="shared" si="5"/>
        <v>0</v>
      </c>
    </row>
    <row r="175" spans="1:14" s="11" customFormat="1" ht="43.5" customHeight="1" hidden="1">
      <c r="A175" s="109" t="s">
        <v>8</v>
      </c>
      <c r="B175" s="115"/>
      <c r="C175" s="138" t="s">
        <v>779</v>
      </c>
      <c r="D175" s="111" t="s">
        <v>11</v>
      </c>
      <c r="E175" s="107">
        <v>465</v>
      </c>
      <c r="F175" s="496" t="str">
        <f>I175</f>
        <v>x</v>
      </c>
      <c r="G175" s="107"/>
      <c r="H175" s="508"/>
      <c r="I175" s="107" t="s">
        <v>34</v>
      </c>
      <c r="J175" s="143"/>
      <c r="K175" s="43">
        <v>78.42</v>
      </c>
      <c r="L175" s="43">
        <f>K175*I171</f>
        <v>12249.99</v>
      </c>
      <c r="M175" s="13"/>
      <c r="N175" s="516">
        <f t="shared" si="5"/>
        <v>0</v>
      </c>
    </row>
    <row r="176" spans="1:14" s="11" customFormat="1" ht="24.75" customHeight="1">
      <c r="A176" s="844" t="s">
        <v>810</v>
      </c>
      <c r="B176" s="844"/>
      <c r="C176" s="844"/>
      <c r="D176" s="844"/>
      <c r="E176" s="844"/>
      <c r="F176" s="844"/>
      <c r="G176" s="844"/>
      <c r="H176" s="529"/>
      <c r="I176" s="107"/>
      <c r="J176" s="143"/>
      <c r="K176" s="43"/>
      <c r="L176" s="43"/>
      <c r="M176" s="13"/>
      <c r="N176" s="516"/>
    </row>
    <row r="177" spans="1:14" s="11" customFormat="1" ht="28.5" customHeight="1">
      <c r="A177" s="846" t="s">
        <v>801</v>
      </c>
      <c r="B177" s="846"/>
      <c r="C177" s="846"/>
      <c r="D177" s="846"/>
      <c r="E177" s="846"/>
      <c r="F177" s="846"/>
      <c r="G177" s="846"/>
      <c r="H177" s="531"/>
      <c r="I177" s="107"/>
      <c r="J177" s="143"/>
      <c r="K177" s="43"/>
      <c r="L177" s="43"/>
      <c r="M177" s="13"/>
      <c r="N177" s="516"/>
    </row>
    <row r="178" spans="1:14" ht="37.5" customHeight="1">
      <c r="A178" s="490" t="s">
        <v>139</v>
      </c>
      <c r="B178" s="847" t="s">
        <v>780</v>
      </c>
      <c r="C178" s="847"/>
      <c r="D178" s="847"/>
      <c r="E178" s="847"/>
      <c r="F178" s="847"/>
      <c r="G178" s="847"/>
      <c r="H178" s="847"/>
      <c r="I178" s="847"/>
      <c r="J178" s="847"/>
      <c r="K178" s="847"/>
      <c r="L178" s="847"/>
      <c r="M178" s="154"/>
      <c r="N178" s="516">
        <f t="shared" si="5"/>
        <v>0</v>
      </c>
    </row>
    <row r="179" spans="1:14" ht="25.5" customHeight="1">
      <c r="A179" s="25" t="s">
        <v>101</v>
      </c>
      <c r="B179" s="25" t="s">
        <v>781</v>
      </c>
      <c r="C179" s="816" t="s">
        <v>782</v>
      </c>
      <c r="D179" s="816"/>
      <c r="E179" s="816"/>
      <c r="F179" s="816"/>
      <c r="G179" s="816"/>
      <c r="H179" s="816"/>
      <c r="I179" s="816"/>
      <c r="J179" s="816"/>
      <c r="K179" s="816"/>
      <c r="L179" s="816"/>
      <c r="M179" s="154"/>
      <c r="N179" s="516">
        <f t="shared" si="5"/>
        <v>0</v>
      </c>
    </row>
    <row r="180" spans="1:14" ht="20.25" customHeight="1">
      <c r="A180" s="109">
        <v>23</v>
      </c>
      <c r="B180" s="113"/>
      <c r="C180" s="139" t="s">
        <v>783</v>
      </c>
      <c r="D180" s="109" t="s">
        <v>9</v>
      </c>
      <c r="E180" s="110" t="s">
        <v>34</v>
      </c>
      <c r="F180" s="496">
        <f>I180</f>
        <v>10</v>
      </c>
      <c r="G180" s="110"/>
      <c r="H180" s="507"/>
      <c r="I180" s="110">
        <f>E181</f>
        <v>10</v>
      </c>
      <c r="J180" s="491"/>
      <c r="K180" s="491"/>
      <c r="L180" s="491"/>
      <c r="M180" s="154"/>
      <c r="N180" s="516">
        <f t="shared" si="5"/>
        <v>0</v>
      </c>
    </row>
    <row r="181" spans="1:14" ht="71.25" customHeight="1" hidden="1">
      <c r="A181" s="109" t="s">
        <v>8</v>
      </c>
      <c r="B181" s="115"/>
      <c r="C181" s="138" t="s">
        <v>794</v>
      </c>
      <c r="D181" s="111" t="s">
        <v>9</v>
      </c>
      <c r="E181" s="107">
        <v>10</v>
      </c>
      <c r="F181" s="496" t="str">
        <f>I181</f>
        <v>x</v>
      </c>
      <c r="G181" s="107"/>
      <c r="H181" s="508"/>
      <c r="I181" s="107" t="s">
        <v>34</v>
      </c>
      <c r="J181" s="491"/>
      <c r="K181" s="491"/>
      <c r="L181" s="491"/>
      <c r="M181" s="154"/>
      <c r="N181" s="516">
        <f t="shared" si="5"/>
        <v>0</v>
      </c>
    </row>
    <row r="182" spans="1:14" ht="24.75" customHeight="1">
      <c r="A182" s="844" t="s">
        <v>813</v>
      </c>
      <c r="B182" s="844"/>
      <c r="C182" s="844"/>
      <c r="D182" s="844"/>
      <c r="E182" s="844"/>
      <c r="F182" s="844"/>
      <c r="G182" s="844"/>
      <c r="H182" s="529"/>
      <c r="I182" s="107"/>
      <c r="J182" s="491"/>
      <c r="K182" s="491"/>
      <c r="L182" s="491"/>
      <c r="M182" s="154"/>
      <c r="N182" s="516"/>
    </row>
    <row r="183" spans="1:14" ht="25.5" customHeight="1">
      <c r="A183" s="846" t="s">
        <v>805</v>
      </c>
      <c r="B183" s="846"/>
      <c r="C183" s="846"/>
      <c r="D183" s="846"/>
      <c r="E183" s="846"/>
      <c r="F183" s="846"/>
      <c r="G183" s="846"/>
      <c r="H183" s="531"/>
      <c r="I183" s="107"/>
      <c r="J183" s="491"/>
      <c r="K183" s="491"/>
      <c r="L183" s="491"/>
      <c r="M183" s="154"/>
      <c r="N183" s="516"/>
    </row>
    <row r="184" spans="1:14" ht="31.5" customHeight="1">
      <c r="A184" s="490" t="s">
        <v>784</v>
      </c>
      <c r="B184" s="847" t="s">
        <v>793</v>
      </c>
      <c r="C184" s="847"/>
      <c r="D184" s="847"/>
      <c r="E184" s="847"/>
      <c r="F184" s="847"/>
      <c r="G184" s="847"/>
      <c r="H184" s="847"/>
      <c r="I184" s="847"/>
      <c r="J184" s="847"/>
      <c r="K184" s="847"/>
      <c r="L184" s="847"/>
      <c r="M184" s="154"/>
      <c r="N184" s="516">
        <f t="shared" si="5"/>
        <v>0</v>
      </c>
    </row>
    <row r="185" spans="1:14" ht="38.25" customHeight="1">
      <c r="A185" s="25" t="s">
        <v>33</v>
      </c>
      <c r="B185" s="25" t="s">
        <v>785</v>
      </c>
      <c r="C185" s="816" t="s">
        <v>786</v>
      </c>
      <c r="D185" s="816"/>
      <c r="E185" s="816"/>
      <c r="F185" s="816"/>
      <c r="G185" s="816"/>
      <c r="H185" s="816"/>
      <c r="I185" s="816"/>
      <c r="J185" s="816"/>
      <c r="K185" s="816"/>
      <c r="L185" s="816"/>
      <c r="M185" s="154"/>
      <c r="N185" s="516">
        <f t="shared" si="5"/>
        <v>0</v>
      </c>
    </row>
    <row r="186" spans="1:14" ht="21" customHeight="1">
      <c r="A186" s="109">
        <v>24</v>
      </c>
      <c r="B186" s="113"/>
      <c r="C186" s="139" t="s">
        <v>787</v>
      </c>
      <c r="D186" s="109" t="s">
        <v>9</v>
      </c>
      <c r="E186" s="110" t="s">
        <v>34</v>
      </c>
      <c r="F186" s="496">
        <f>I186</f>
        <v>8</v>
      </c>
      <c r="G186" s="110">
        <v>225.6</v>
      </c>
      <c r="H186" s="507"/>
      <c r="I186" s="110">
        <f>E187</f>
        <v>8</v>
      </c>
      <c r="J186" s="491"/>
      <c r="K186" s="491"/>
      <c r="L186" s="491"/>
      <c r="M186" s="154"/>
      <c r="N186" s="516">
        <f t="shared" si="5"/>
        <v>0</v>
      </c>
    </row>
    <row r="187" spans="1:14" ht="78.75" hidden="1">
      <c r="A187" s="109" t="s">
        <v>8</v>
      </c>
      <c r="B187" s="115"/>
      <c r="C187" s="138" t="s">
        <v>795</v>
      </c>
      <c r="D187" s="111" t="s">
        <v>9</v>
      </c>
      <c r="E187" s="107">
        <v>8</v>
      </c>
      <c r="F187" s="496" t="str">
        <f>I187</f>
        <v>x</v>
      </c>
      <c r="G187" s="107"/>
      <c r="H187" s="508"/>
      <c r="I187" s="107" t="s">
        <v>34</v>
      </c>
      <c r="J187" s="491"/>
      <c r="K187" s="491"/>
      <c r="L187" s="491"/>
      <c r="N187" s="516">
        <f t="shared" si="5"/>
        <v>0</v>
      </c>
    </row>
    <row r="188" spans="1:14" ht="26.25" customHeight="1">
      <c r="A188" s="844" t="s">
        <v>290</v>
      </c>
      <c r="B188" s="844"/>
      <c r="C188" s="844"/>
      <c r="D188" s="844"/>
      <c r="E188" s="844"/>
      <c r="F188" s="844"/>
      <c r="G188" s="844"/>
      <c r="H188" s="529"/>
      <c r="I188" s="533"/>
      <c r="J188" s="491"/>
      <c r="K188" s="491"/>
      <c r="L188" s="491"/>
      <c r="N188" s="516"/>
    </row>
    <row r="189" spans="1:14" ht="28.5" customHeight="1">
      <c r="A189" s="846" t="s">
        <v>807</v>
      </c>
      <c r="B189" s="846"/>
      <c r="C189" s="846"/>
      <c r="D189" s="846"/>
      <c r="E189" s="846"/>
      <c r="F189" s="846"/>
      <c r="G189" s="846"/>
      <c r="H189" s="531"/>
      <c r="I189" s="533"/>
      <c r="J189" s="491"/>
      <c r="K189" s="491"/>
      <c r="L189" s="491"/>
      <c r="N189" s="516"/>
    </row>
    <row r="190" spans="1:12" ht="21.75" customHeight="1">
      <c r="A190" s="845" t="s">
        <v>216</v>
      </c>
      <c r="B190" s="845"/>
      <c r="C190" s="845"/>
      <c r="D190" s="845"/>
      <c r="E190" s="845"/>
      <c r="F190" s="845"/>
      <c r="G190" s="845"/>
      <c r="H190" s="513"/>
      <c r="I190" s="534" t="e">
        <f>I189+#REF!</f>
        <v>#REF!</v>
      </c>
      <c r="J190" s="491"/>
      <c r="K190" s="491"/>
      <c r="L190" s="491"/>
    </row>
    <row r="191" spans="1:12" ht="24" customHeight="1">
      <c r="A191" s="845" t="s">
        <v>217</v>
      </c>
      <c r="B191" s="845"/>
      <c r="C191" s="845"/>
      <c r="D191" s="845"/>
      <c r="E191" s="845"/>
      <c r="F191" s="845"/>
      <c r="G191" s="845"/>
      <c r="H191" s="513"/>
      <c r="I191" s="534" t="e">
        <f>0.23*I190</f>
        <v>#REF!</v>
      </c>
      <c r="J191" s="491"/>
      <c r="K191" s="491"/>
      <c r="L191" s="491"/>
    </row>
    <row r="192" spans="1:12" ht="27" customHeight="1">
      <c r="A192" s="845" t="s">
        <v>218</v>
      </c>
      <c r="B192" s="845"/>
      <c r="C192" s="845"/>
      <c r="D192" s="845"/>
      <c r="E192" s="845"/>
      <c r="F192" s="845"/>
      <c r="G192" s="845"/>
      <c r="H192" s="513"/>
      <c r="I192" s="534" t="e">
        <f>I190+I191</f>
        <v>#REF!</v>
      </c>
      <c r="J192" s="491"/>
      <c r="K192" s="491"/>
      <c r="L192" s="491"/>
    </row>
    <row r="193" ht="12.75">
      <c r="I193" s="155"/>
    </row>
    <row r="194" ht="12.75">
      <c r="I194" s="155"/>
    </row>
    <row r="195" ht="12.75">
      <c r="I195" s="155"/>
    </row>
  </sheetData>
  <sheetProtection/>
  <autoFilter ref="A3:I175"/>
  <mergeCells count="76">
    <mergeCell ref="A1:I1"/>
    <mergeCell ref="K1:L1"/>
    <mergeCell ref="A2:I2"/>
    <mergeCell ref="K2:L2"/>
    <mergeCell ref="B4:I4"/>
    <mergeCell ref="K4:L4"/>
    <mergeCell ref="C5:I5"/>
    <mergeCell ref="K5:L5"/>
    <mergeCell ref="C6:I6"/>
    <mergeCell ref="A14:G14"/>
    <mergeCell ref="A15:G15"/>
    <mergeCell ref="B16:I16"/>
    <mergeCell ref="K16:L16"/>
    <mergeCell ref="C17:I17"/>
    <mergeCell ref="K17:L17"/>
    <mergeCell ref="C18:I18"/>
    <mergeCell ref="K18:L18"/>
    <mergeCell ref="C21:I21"/>
    <mergeCell ref="C26:I26"/>
    <mergeCell ref="K26:L26"/>
    <mergeCell ref="C31:I31"/>
    <mergeCell ref="K31:L31"/>
    <mergeCell ref="C56:I56"/>
    <mergeCell ref="C57:I57"/>
    <mergeCell ref="C62:I62"/>
    <mergeCell ref="C67:I67"/>
    <mergeCell ref="C68:I68"/>
    <mergeCell ref="C75:I75"/>
    <mergeCell ref="C78:I78"/>
    <mergeCell ref="A95:G95"/>
    <mergeCell ref="C96:I96"/>
    <mergeCell ref="C97:I97"/>
    <mergeCell ref="K97:L97"/>
    <mergeCell ref="C100:I100"/>
    <mergeCell ref="C103:I103"/>
    <mergeCell ref="K106:L106"/>
    <mergeCell ref="C112:I112"/>
    <mergeCell ref="K115:L115"/>
    <mergeCell ref="C117:I117"/>
    <mergeCell ref="A122:G122"/>
    <mergeCell ref="C123:I123"/>
    <mergeCell ref="C124:I124"/>
    <mergeCell ref="C127:I127"/>
    <mergeCell ref="K127:L127"/>
    <mergeCell ref="K130:L130"/>
    <mergeCell ref="C136:I136"/>
    <mergeCell ref="A139:G139"/>
    <mergeCell ref="C140:I140"/>
    <mergeCell ref="C141:I141"/>
    <mergeCell ref="K141:L141"/>
    <mergeCell ref="K142:L142"/>
    <mergeCell ref="C147:I147"/>
    <mergeCell ref="C150:I150"/>
    <mergeCell ref="A153:G153"/>
    <mergeCell ref="C154:I154"/>
    <mergeCell ref="C155:I155"/>
    <mergeCell ref="C160:I160"/>
    <mergeCell ref="A163:G163"/>
    <mergeCell ref="C164:I164"/>
    <mergeCell ref="C165:I165"/>
    <mergeCell ref="C168:I168"/>
    <mergeCell ref="K172:L172"/>
    <mergeCell ref="C173:I173"/>
    <mergeCell ref="A176:G176"/>
    <mergeCell ref="A177:G177"/>
    <mergeCell ref="B178:L178"/>
    <mergeCell ref="C179:L179"/>
    <mergeCell ref="A182:G182"/>
    <mergeCell ref="A191:G191"/>
    <mergeCell ref="A192:G192"/>
    <mergeCell ref="A183:G183"/>
    <mergeCell ref="B184:L184"/>
    <mergeCell ref="C185:L185"/>
    <mergeCell ref="A188:G188"/>
    <mergeCell ref="A189:G189"/>
    <mergeCell ref="A190:G190"/>
  </mergeCells>
  <printOptions/>
  <pageMargins left="0.7" right="0.7" top="0.75" bottom="0.75" header="0.3" footer="0.3"/>
  <pageSetup fitToHeight="0" fitToWidth="1" horizontalDpi="600" verticalDpi="600" orientation="portrait" paperSize="9" scale="61" r:id="rId1"/>
  <rowBreaks count="1" manualBreakCount="1">
    <brk id="153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M50"/>
  <sheetViews>
    <sheetView view="pageBreakPreview" zoomScaleSheetLayoutView="100" zoomScalePageLayoutView="0" workbookViewId="0" topLeftCell="A1">
      <selection activeCell="B5" sqref="B5:E5"/>
    </sheetView>
  </sheetViews>
  <sheetFormatPr defaultColWidth="9.125" defaultRowHeight="12.75"/>
  <cols>
    <col min="1" max="1" width="14.50390625" style="95" customWidth="1"/>
    <col min="2" max="2" width="15.125" style="95" customWidth="1"/>
    <col min="3" max="3" width="9.125" style="95" customWidth="1"/>
    <col min="4" max="4" width="61.50390625" style="95" customWidth="1"/>
    <col min="5" max="5" width="20.625" style="95" customWidth="1"/>
    <col min="6" max="16384" width="9.125" style="95" customWidth="1"/>
  </cols>
  <sheetData>
    <row r="2" spans="1:5" ht="52.5" customHeight="1">
      <c r="A2" s="861"/>
      <c r="B2" s="861"/>
      <c r="C2" s="861"/>
      <c r="D2" s="861"/>
      <c r="E2" s="861"/>
    </row>
    <row r="3" spans="1:5" ht="18.75" customHeight="1">
      <c r="A3" s="862" t="s">
        <v>46</v>
      </c>
      <c r="B3" s="863"/>
      <c r="C3" s="863"/>
      <c r="D3" s="863"/>
      <c r="E3" s="864"/>
    </row>
    <row r="4" spans="1:5" ht="18.75" customHeight="1">
      <c r="A4" s="865"/>
      <c r="B4" s="866"/>
      <c r="C4" s="866"/>
      <c r="D4" s="866"/>
      <c r="E4" s="867"/>
    </row>
    <row r="5" spans="1:10" ht="97.5" customHeight="1">
      <c r="A5" s="521" t="s">
        <v>40</v>
      </c>
      <c r="B5" s="758" t="s">
        <v>1095</v>
      </c>
      <c r="C5" s="759"/>
      <c r="D5" s="759"/>
      <c r="E5" s="759"/>
      <c r="F5" s="731"/>
      <c r="G5" s="731"/>
      <c r="H5" s="731"/>
      <c r="I5" s="731"/>
      <c r="J5" s="732"/>
    </row>
    <row r="6" spans="1:5" ht="17.25">
      <c r="A6" s="522"/>
      <c r="B6" s="868"/>
      <c r="C6" s="868"/>
      <c r="D6" s="868"/>
      <c r="E6" s="868"/>
    </row>
    <row r="7" spans="1:5" ht="37.5" customHeight="1">
      <c r="A7" s="517" t="s">
        <v>87</v>
      </c>
      <c r="B7" s="517" t="s">
        <v>47</v>
      </c>
      <c r="C7" s="869" t="s">
        <v>48</v>
      </c>
      <c r="D7" s="869"/>
      <c r="E7" s="517" t="s">
        <v>49</v>
      </c>
    </row>
    <row r="8" spans="1:5" ht="27.75" customHeight="1">
      <c r="A8" s="40" t="s">
        <v>34</v>
      </c>
      <c r="B8" s="40" t="s">
        <v>33</v>
      </c>
      <c r="C8" s="859" t="s">
        <v>140</v>
      </c>
      <c r="D8" s="860"/>
      <c r="E8" s="518" t="s">
        <v>34</v>
      </c>
    </row>
    <row r="9" spans="1:5" ht="33" customHeight="1">
      <c r="A9" s="41" t="s">
        <v>88</v>
      </c>
      <c r="B9" s="41" t="s">
        <v>58</v>
      </c>
      <c r="C9" s="870" t="s">
        <v>50</v>
      </c>
      <c r="D9" s="870"/>
      <c r="E9" s="515"/>
    </row>
    <row r="10" spans="1:5" ht="24" customHeight="1">
      <c r="A10" s="857" t="s">
        <v>290</v>
      </c>
      <c r="B10" s="857"/>
      <c r="C10" s="857"/>
      <c r="D10" s="857"/>
      <c r="E10" s="519"/>
    </row>
    <row r="11" spans="1:5" ht="40.5" customHeight="1">
      <c r="A11" s="40" t="s">
        <v>34</v>
      </c>
      <c r="B11" s="40" t="s">
        <v>38</v>
      </c>
      <c r="C11" s="859" t="s">
        <v>1039</v>
      </c>
      <c r="D11" s="860"/>
      <c r="E11" s="518" t="s">
        <v>34</v>
      </c>
    </row>
    <row r="12" spans="1:5" ht="15">
      <c r="A12" s="42" t="s">
        <v>89</v>
      </c>
      <c r="B12" s="42" t="s">
        <v>60</v>
      </c>
      <c r="C12" s="763" t="s">
        <v>51</v>
      </c>
      <c r="D12" s="763"/>
      <c r="E12" s="515"/>
    </row>
    <row r="13" spans="1:5" ht="15">
      <c r="A13" s="42" t="s">
        <v>90</v>
      </c>
      <c r="B13" s="42" t="s">
        <v>62</v>
      </c>
      <c r="C13" s="763" t="s">
        <v>80</v>
      </c>
      <c r="D13" s="763"/>
      <c r="E13" s="515"/>
    </row>
    <row r="14" spans="1:5" ht="18" customHeight="1">
      <c r="A14" s="42" t="s">
        <v>91</v>
      </c>
      <c r="B14" s="42" t="s">
        <v>52</v>
      </c>
      <c r="C14" s="763" t="s">
        <v>105</v>
      </c>
      <c r="D14" s="763"/>
      <c r="E14" s="515"/>
    </row>
    <row r="15" spans="1:5" ht="15">
      <c r="A15" s="42" t="s">
        <v>90</v>
      </c>
      <c r="B15" s="42" t="s">
        <v>53</v>
      </c>
      <c r="C15" s="763" t="s">
        <v>54</v>
      </c>
      <c r="D15" s="763"/>
      <c r="E15" s="515"/>
    </row>
    <row r="16" spans="1:5" ht="15">
      <c r="A16" s="42" t="s">
        <v>91</v>
      </c>
      <c r="B16" s="42" t="s">
        <v>65</v>
      </c>
      <c r="C16" s="780" t="s">
        <v>55</v>
      </c>
      <c r="D16" s="780"/>
      <c r="E16" s="515"/>
    </row>
    <row r="17" spans="1:5" ht="15">
      <c r="A17" s="42" t="s">
        <v>92</v>
      </c>
      <c r="B17" s="42" t="s">
        <v>67</v>
      </c>
      <c r="C17" s="780" t="s">
        <v>56</v>
      </c>
      <c r="D17" s="780"/>
      <c r="E17" s="515"/>
    </row>
    <row r="18" spans="1:5" ht="31.5" customHeight="1">
      <c r="A18" s="42" t="s">
        <v>93</v>
      </c>
      <c r="B18" s="42" t="s">
        <v>101</v>
      </c>
      <c r="C18" s="780" t="s">
        <v>137</v>
      </c>
      <c r="D18" s="780"/>
      <c r="E18" s="515"/>
    </row>
    <row r="19" spans="1:5" ht="16.5" customHeight="1">
      <c r="A19" s="42" t="s">
        <v>94</v>
      </c>
      <c r="B19" s="42" t="s">
        <v>33</v>
      </c>
      <c r="C19" s="780" t="s">
        <v>57</v>
      </c>
      <c r="D19" s="780"/>
      <c r="E19" s="515"/>
    </row>
    <row r="20" spans="1:5" ht="16.5" customHeight="1">
      <c r="A20" s="42" t="s">
        <v>106</v>
      </c>
      <c r="B20" s="42" t="s">
        <v>1027</v>
      </c>
      <c r="C20" s="781" t="s">
        <v>1042</v>
      </c>
      <c r="D20" s="858"/>
      <c r="E20" s="515"/>
    </row>
    <row r="21" spans="1:5" ht="16.5" customHeight="1">
      <c r="A21" s="40" t="s">
        <v>34</v>
      </c>
      <c r="B21" s="40" t="s">
        <v>139</v>
      </c>
      <c r="C21" s="859" t="s">
        <v>1040</v>
      </c>
      <c r="D21" s="860"/>
      <c r="E21" s="518" t="s">
        <v>34</v>
      </c>
    </row>
    <row r="22" spans="1:5" ht="28.5" customHeight="1">
      <c r="A22" s="42" t="s">
        <v>106</v>
      </c>
      <c r="B22" s="42" t="s">
        <v>880</v>
      </c>
      <c r="C22" s="781" t="s">
        <v>1043</v>
      </c>
      <c r="D22" s="858"/>
      <c r="E22" s="515"/>
    </row>
    <row r="23" spans="1:5" ht="32.25" customHeight="1">
      <c r="A23" s="40" t="s">
        <v>34</v>
      </c>
      <c r="B23" s="40" t="s">
        <v>784</v>
      </c>
      <c r="C23" s="859" t="s">
        <v>811</v>
      </c>
      <c r="D23" s="860"/>
      <c r="E23" s="518" t="s">
        <v>34</v>
      </c>
    </row>
    <row r="24" spans="1:5" ht="39.75" customHeight="1">
      <c r="A24" s="42" t="s">
        <v>138</v>
      </c>
      <c r="B24" s="42" t="s">
        <v>211</v>
      </c>
      <c r="C24" s="763" t="s">
        <v>812</v>
      </c>
      <c r="D24" s="763"/>
      <c r="E24" s="515"/>
    </row>
    <row r="25" spans="1:5" ht="39.75" customHeight="1">
      <c r="A25" s="40" t="s">
        <v>34</v>
      </c>
      <c r="B25" s="40" t="s">
        <v>1029</v>
      </c>
      <c r="C25" s="859" t="s">
        <v>815</v>
      </c>
      <c r="D25" s="860"/>
      <c r="E25" s="518" t="s">
        <v>34</v>
      </c>
    </row>
    <row r="26" spans="1:12" ht="39.75" customHeight="1">
      <c r="A26" s="42" t="s">
        <v>474</v>
      </c>
      <c r="B26" s="664" t="s">
        <v>1028</v>
      </c>
      <c r="C26" s="763" t="s">
        <v>814</v>
      </c>
      <c r="D26" s="763"/>
      <c r="E26" s="515"/>
      <c r="L26" s="519"/>
    </row>
    <row r="27" spans="1:5" ht="43.5" customHeight="1">
      <c r="A27" s="42" t="s">
        <v>475</v>
      </c>
      <c r="B27" s="42" t="s">
        <v>1048</v>
      </c>
      <c r="C27" s="763" t="s">
        <v>1050</v>
      </c>
      <c r="D27" s="763"/>
      <c r="E27" s="515"/>
    </row>
    <row r="28" spans="1:10" ht="25.5" customHeight="1" hidden="1">
      <c r="A28" s="856" t="s">
        <v>291</v>
      </c>
      <c r="B28" s="856"/>
      <c r="C28" s="856"/>
      <c r="D28" s="856"/>
      <c r="E28" s="519"/>
      <c r="J28" s="176"/>
    </row>
    <row r="29" spans="1:5" ht="23.25" customHeight="1">
      <c r="A29" s="857" t="s">
        <v>1053</v>
      </c>
      <c r="B29" s="857"/>
      <c r="C29" s="857"/>
      <c r="D29" s="857"/>
      <c r="E29" s="519"/>
    </row>
    <row r="30" spans="1:5" ht="23.25" customHeight="1">
      <c r="A30" s="857" t="s">
        <v>81</v>
      </c>
      <c r="B30" s="857"/>
      <c r="C30" s="857"/>
      <c r="D30" s="857"/>
      <c r="E30" s="519"/>
    </row>
    <row r="31" spans="1:5" ht="23.25" customHeight="1">
      <c r="A31" s="857" t="s">
        <v>95</v>
      </c>
      <c r="B31" s="857"/>
      <c r="C31" s="857"/>
      <c r="D31" s="857"/>
      <c r="E31" s="519"/>
    </row>
    <row r="34" ht="12.75">
      <c r="F34" s="540"/>
    </row>
    <row r="35" spans="3:5" ht="54" customHeight="1">
      <c r="C35" s="537"/>
      <c r="E35" s="540"/>
    </row>
    <row r="36" spans="3:13" ht="12.75">
      <c r="C36" s="537"/>
      <c r="K36" s="545"/>
      <c r="L36" s="545"/>
      <c r="M36" s="545"/>
    </row>
    <row r="40" spans="1:6" ht="12.75">
      <c r="A40" s="545"/>
      <c r="B40" s="545"/>
      <c r="C40" s="545"/>
      <c r="D40" s="545"/>
      <c r="E40" s="545"/>
      <c r="F40" s="545"/>
    </row>
    <row r="41" spans="1:6" ht="12.75">
      <c r="A41" s="545"/>
      <c r="B41" s="545"/>
      <c r="C41" s="545"/>
      <c r="D41" s="545"/>
      <c r="E41" s="545"/>
      <c r="F41" s="545"/>
    </row>
    <row r="42" spans="1:6" ht="12.75">
      <c r="A42" s="545"/>
      <c r="B42" s="545"/>
      <c r="C42" s="545"/>
      <c r="D42" s="545"/>
      <c r="E42" s="545"/>
      <c r="F42" s="545"/>
    </row>
    <row r="43" ht="12.75">
      <c r="F43" s="540"/>
    </row>
    <row r="44" ht="12.75">
      <c r="E44" s="540"/>
    </row>
    <row r="45" ht="12.75">
      <c r="E45" s="540"/>
    </row>
    <row r="49" ht="12.75">
      <c r="F49" s="540"/>
    </row>
    <row r="50" ht="12.75">
      <c r="E50" s="540"/>
    </row>
  </sheetData>
  <sheetProtection/>
  <mergeCells count="29">
    <mergeCell ref="C14:D14"/>
    <mergeCell ref="A2:E2"/>
    <mergeCell ref="A3:E4"/>
    <mergeCell ref="B5:E5"/>
    <mergeCell ref="B6:E6"/>
    <mergeCell ref="C7:D7"/>
    <mergeCell ref="C8:D8"/>
    <mergeCell ref="C9:D9"/>
    <mergeCell ref="A10:D10"/>
    <mergeCell ref="C11:D11"/>
    <mergeCell ref="C12:D12"/>
    <mergeCell ref="C13:D13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A28:D28"/>
    <mergeCell ref="A29:D29"/>
    <mergeCell ref="A30:D30"/>
    <mergeCell ref="A31:D31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T294"/>
  <sheetViews>
    <sheetView view="pageBreakPreview" zoomScale="85" zoomScaleSheetLayoutView="85" zoomScalePageLayoutView="0" workbookViewId="0" topLeftCell="A261">
      <selection activeCell="F297" sqref="F297"/>
    </sheetView>
  </sheetViews>
  <sheetFormatPr defaultColWidth="9.125" defaultRowHeight="12.75"/>
  <cols>
    <col min="1" max="1" width="8.00390625" style="622" customWidth="1"/>
    <col min="2" max="2" width="19.625" style="642" customWidth="1"/>
    <col min="3" max="3" width="65.625" style="52" customWidth="1"/>
    <col min="4" max="4" width="10.50390625" style="53" customWidth="1"/>
    <col min="5" max="5" width="9.625" style="22" hidden="1" customWidth="1"/>
    <col min="6" max="6" width="9.625" style="22" customWidth="1"/>
    <col min="7" max="7" width="12.375" style="22" customWidth="1"/>
    <col min="8" max="8" width="16.50390625" style="718" customWidth="1"/>
    <col min="9" max="9" width="13.00390625" style="730" hidden="1" customWidth="1"/>
    <col min="10" max="10" width="9.125" style="717" customWidth="1"/>
    <col min="11" max="11" width="13.50390625" style="154" bestFit="1" customWidth="1"/>
    <col min="12" max="14" width="9.125" style="154" customWidth="1"/>
    <col min="15" max="16384" width="9.125" style="49" customWidth="1"/>
  </cols>
  <sheetData>
    <row r="1" spans="1:9" s="4" customFormat="1" ht="31.5" customHeight="1">
      <c r="A1" s="854" t="s">
        <v>1096</v>
      </c>
      <c r="B1" s="855"/>
      <c r="C1" s="855"/>
      <c r="D1" s="855"/>
      <c r="E1" s="855"/>
      <c r="F1" s="855"/>
      <c r="G1" s="855"/>
      <c r="H1" s="855"/>
      <c r="I1" s="855"/>
    </row>
    <row r="2" spans="1:9" s="4" customFormat="1" ht="52.5" customHeight="1">
      <c r="A2" s="834" t="s">
        <v>1095</v>
      </c>
      <c r="B2" s="834"/>
      <c r="C2" s="834"/>
      <c r="D2" s="834"/>
      <c r="E2" s="834"/>
      <c r="F2" s="834"/>
      <c r="G2" s="834"/>
      <c r="H2" s="834"/>
      <c r="I2" s="834"/>
    </row>
    <row r="3" spans="1:10" ht="45" customHeight="1">
      <c r="A3" s="608" t="s">
        <v>3</v>
      </c>
      <c r="B3" s="623" t="s">
        <v>228</v>
      </c>
      <c r="C3" s="97" t="s">
        <v>215</v>
      </c>
      <c r="D3" s="97" t="s">
        <v>5</v>
      </c>
      <c r="E3" s="26" t="s">
        <v>6</v>
      </c>
      <c r="F3" s="26" t="s">
        <v>6</v>
      </c>
      <c r="G3" s="100" t="s">
        <v>214</v>
      </c>
      <c r="H3" s="505" t="s">
        <v>1030</v>
      </c>
      <c r="I3" s="100" t="s">
        <v>7</v>
      </c>
      <c r="J3" s="154"/>
    </row>
    <row r="4" spans="1:10" ht="19.5" customHeight="1">
      <c r="A4" s="609" t="s">
        <v>33</v>
      </c>
      <c r="B4" s="847" t="s">
        <v>140</v>
      </c>
      <c r="C4" s="852"/>
      <c r="D4" s="852"/>
      <c r="E4" s="852"/>
      <c r="F4" s="852"/>
      <c r="G4" s="852"/>
      <c r="H4" s="852"/>
      <c r="I4" s="852"/>
      <c r="J4" s="154"/>
    </row>
    <row r="5" spans="1:10" ht="26.25" customHeight="1">
      <c r="A5" s="610" t="s">
        <v>58</v>
      </c>
      <c r="B5" s="610" t="s">
        <v>73</v>
      </c>
      <c r="C5" s="848" t="s">
        <v>50</v>
      </c>
      <c r="D5" s="848"/>
      <c r="E5" s="848"/>
      <c r="F5" s="848"/>
      <c r="G5" s="848"/>
      <c r="H5" s="848"/>
      <c r="I5" s="848"/>
      <c r="J5" s="154"/>
    </row>
    <row r="6" spans="1:10" ht="18.75" customHeight="1">
      <c r="A6" s="611" t="s">
        <v>34</v>
      </c>
      <c r="B6" s="611" t="s">
        <v>69</v>
      </c>
      <c r="C6" s="814" t="s">
        <v>109</v>
      </c>
      <c r="D6" s="814"/>
      <c r="E6" s="814"/>
      <c r="F6" s="814"/>
      <c r="G6" s="814"/>
      <c r="H6" s="814"/>
      <c r="I6" s="814"/>
      <c r="J6" s="154"/>
    </row>
    <row r="7" spans="1:10" ht="40.5" customHeight="1">
      <c r="A7" s="608" t="s">
        <v>110</v>
      </c>
      <c r="B7" s="608" t="s">
        <v>69</v>
      </c>
      <c r="C7" s="88" t="s">
        <v>197</v>
      </c>
      <c r="D7" s="131" t="s">
        <v>446</v>
      </c>
      <c r="E7" s="89">
        <v>1</v>
      </c>
      <c r="F7" s="341">
        <f>I7</f>
        <v>1</v>
      </c>
      <c r="G7" s="606"/>
      <c r="H7" s="505"/>
      <c r="I7" s="89">
        <f>E7</f>
        <v>1</v>
      </c>
      <c r="J7" s="154"/>
    </row>
    <row r="8" spans="1:10" ht="28.5" customHeight="1">
      <c r="A8" s="608" t="s">
        <v>112</v>
      </c>
      <c r="B8" s="608" t="str">
        <f>B7</f>
        <v>00.00.00</v>
      </c>
      <c r="C8" s="88" t="s">
        <v>550</v>
      </c>
      <c r="D8" s="131" t="s">
        <v>446</v>
      </c>
      <c r="E8" s="89">
        <v>1</v>
      </c>
      <c r="F8" s="341">
        <f>I8</f>
        <v>1</v>
      </c>
      <c r="G8" s="606"/>
      <c r="H8" s="505"/>
      <c r="I8" s="89">
        <f>E8</f>
        <v>1</v>
      </c>
      <c r="J8" s="154"/>
    </row>
    <row r="9" spans="1:11" ht="15">
      <c r="A9" s="844" t="s">
        <v>803</v>
      </c>
      <c r="B9" s="844"/>
      <c r="C9" s="844"/>
      <c r="D9" s="844"/>
      <c r="E9" s="844"/>
      <c r="F9" s="844"/>
      <c r="G9" s="844"/>
      <c r="H9" s="529"/>
      <c r="I9" s="89"/>
      <c r="J9" s="154"/>
      <c r="K9" s="719">
        <f>H9</f>
        <v>0</v>
      </c>
    </row>
    <row r="10" spans="1:10" ht="15">
      <c r="A10" s="846" t="s">
        <v>800</v>
      </c>
      <c r="B10" s="846"/>
      <c r="C10" s="846"/>
      <c r="D10" s="846"/>
      <c r="E10" s="846"/>
      <c r="F10" s="846"/>
      <c r="G10" s="846"/>
      <c r="H10" s="531"/>
      <c r="I10" s="89"/>
      <c r="J10" s="154"/>
    </row>
    <row r="11" spans="1:10" ht="20.25" customHeight="1">
      <c r="A11" s="609" t="s">
        <v>38</v>
      </c>
      <c r="B11" s="847" t="s">
        <v>1033</v>
      </c>
      <c r="C11" s="852"/>
      <c r="D11" s="852"/>
      <c r="E11" s="852"/>
      <c r="F11" s="852"/>
      <c r="G11" s="852"/>
      <c r="H11" s="852"/>
      <c r="I11" s="852"/>
      <c r="J11" s="154"/>
    </row>
    <row r="12" spans="1:9" s="1" customFormat="1" ht="27" customHeight="1">
      <c r="A12" s="610" t="s">
        <v>60</v>
      </c>
      <c r="B12" s="610" t="s">
        <v>59</v>
      </c>
      <c r="C12" s="848" t="s">
        <v>198</v>
      </c>
      <c r="D12" s="848"/>
      <c r="E12" s="848"/>
      <c r="F12" s="848"/>
      <c r="G12" s="848"/>
      <c r="H12" s="848"/>
      <c r="I12" s="848"/>
    </row>
    <row r="13" spans="1:10" ht="18" customHeight="1">
      <c r="A13" s="611" t="s">
        <v>34</v>
      </c>
      <c r="B13" s="624" t="s">
        <v>13</v>
      </c>
      <c r="C13" s="814" t="s">
        <v>116</v>
      </c>
      <c r="D13" s="814"/>
      <c r="E13" s="850"/>
      <c r="F13" s="850"/>
      <c r="G13" s="850"/>
      <c r="H13" s="850"/>
      <c r="I13" s="850"/>
      <c r="J13" s="154"/>
    </row>
    <row r="14" spans="1:14" s="14" customFormat="1" ht="18.75" customHeight="1">
      <c r="A14" s="608">
        <v>2</v>
      </c>
      <c r="B14" s="623" t="s">
        <v>145</v>
      </c>
      <c r="C14" s="99" t="s">
        <v>232</v>
      </c>
      <c r="D14" s="97" t="s">
        <v>223</v>
      </c>
      <c r="E14" s="101" t="s">
        <v>34</v>
      </c>
      <c r="F14" s="341">
        <f>I14</f>
        <v>0.1</v>
      </c>
      <c r="G14" s="101"/>
      <c r="H14" s="505"/>
      <c r="I14" s="101">
        <f>SUM(E15:E15)</f>
        <v>0.1</v>
      </c>
      <c r="J14" s="720"/>
      <c r="K14" s="720"/>
      <c r="L14" s="720"/>
      <c r="M14" s="720"/>
      <c r="N14" s="720"/>
    </row>
    <row r="15" spans="1:10" ht="71.25" customHeight="1" hidden="1">
      <c r="A15" s="608"/>
      <c r="B15" s="625"/>
      <c r="C15" s="103" t="s">
        <v>843</v>
      </c>
      <c r="D15" s="104" t="s">
        <v>223</v>
      </c>
      <c r="E15" s="105">
        <f>(444.5-347.25)/1000</f>
        <v>0.1</v>
      </c>
      <c r="F15" s="101"/>
      <c r="G15" s="105"/>
      <c r="H15" s="507"/>
      <c r="I15" s="106" t="s">
        <v>34</v>
      </c>
      <c r="J15" s="154"/>
    </row>
    <row r="16" spans="1:10" ht="16.5" customHeight="1">
      <c r="A16" s="611" t="s">
        <v>34</v>
      </c>
      <c r="B16" s="611" t="s">
        <v>552</v>
      </c>
      <c r="C16" s="814" t="s">
        <v>553</v>
      </c>
      <c r="D16" s="814"/>
      <c r="E16" s="850"/>
      <c r="F16" s="850"/>
      <c r="G16" s="850"/>
      <c r="H16" s="850"/>
      <c r="I16" s="850"/>
      <c r="J16" s="154"/>
    </row>
    <row r="17" spans="1:10" ht="19.5" customHeight="1">
      <c r="A17" s="608">
        <v>3</v>
      </c>
      <c r="B17" s="623" t="s">
        <v>555</v>
      </c>
      <c r="C17" s="99" t="s">
        <v>554</v>
      </c>
      <c r="D17" s="97" t="s">
        <v>12</v>
      </c>
      <c r="E17" s="101" t="s">
        <v>34</v>
      </c>
      <c r="F17" s="341">
        <f>I17</f>
        <v>12</v>
      </c>
      <c r="G17" s="101"/>
      <c r="H17" s="505"/>
      <c r="I17" s="101">
        <f>SUM(E18:E18)</f>
        <v>12</v>
      </c>
      <c r="J17" s="154"/>
    </row>
    <row r="18" spans="1:10" ht="64.5" customHeight="1" hidden="1">
      <c r="A18" s="608"/>
      <c r="B18" s="625"/>
      <c r="C18" s="103" t="s">
        <v>841</v>
      </c>
      <c r="D18" s="104" t="s">
        <v>12</v>
      </c>
      <c r="E18" s="105">
        <v>12</v>
      </c>
      <c r="F18" s="341" t="str">
        <f>I18</f>
        <v>x</v>
      </c>
      <c r="G18" s="105"/>
      <c r="H18" s="505"/>
      <c r="I18" s="106" t="s">
        <v>34</v>
      </c>
      <c r="J18" s="154"/>
    </row>
    <row r="19" spans="1:10" ht="19.5" customHeight="1">
      <c r="A19" s="608">
        <v>4</v>
      </c>
      <c r="B19" s="623" t="s">
        <v>556</v>
      </c>
      <c r="C19" s="99" t="s">
        <v>557</v>
      </c>
      <c r="D19" s="97" t="s">
        <v>199</v>
      </c>
      <c r="E19" s="101" t="s">
        <v>34</v>
      </c>
      <c r="F19" s="341">
        <f>I19</f>
        <v>20</v>
      </c>
      <c r="G19" s="101"/>
      <c r="H19" s="505"/>
      <c r="I19" s="101">
        <f>SUM(E20:E20)</f>
        <v>20</v>
      </c>
      <c r="J19" s="154"/>
    </row>
    <row r="20" spans="1:10" ht="60.75" customHeight="1" hidden="1">
      <c r="A20" s="608"/>
      <c r="B20" s="625"/>
      <c r="C20" s="103" t="s">
        <v>842</v>
      </c>
      <c r="D20" s="104" t="s">
        <v>200</v>
      </c>
      <c r="E20" s="105">
        <v>20</v>
      </c>
      <c r="F20" s="101"/>
      <c r="G20" s="105"/>
      <c r="H20" s="507"/>
      <c r="I20" s="106" t="s">
        <v>34</v>
      </c>
      <c r="J20" s="154"/>
    </row>
    <row r="21" spans="1:10" ht="18" customHeight="1">
      <c r="A21" s="611" t="s">
        <v>34</v>
      </c>
      <c r="B21" s="611" t="s">
        <v>14</v>
      </c>
      <c r="C21" s="814" t="s">
        <v>117</v>
      </c>
      <c r="D21" s="814"/>
      <c r="E21" s="814"/>
      <c r="F21" s="814"/>
      <c r="G21" s="814"/>
      <c r="H21" s="814"/>
      <c r="I21" s="814"/>
      <c r="J21" s="154"/>
    </row>
    <row r="22" spans="1:14" s="14" customFormat="1" ht="28.5" customHeight="1">
      <c r="A22" s="608">
        <v>5</v>
      </c>
      <c r="B22" s="623" t="s">
        <v>562</v>
      </c>
      <c r="C22" s="99" t="s">
        <v>561</v>
      </c>
      <c r="D22" s="97" t="s">
        <v>199</v>
      </c>
      <c r="E22" s="101" t="s">
        <v>34</v>
      </c>
      <c r="F22" s="341">
        <f>I22</f>
        <v>214</v>
      </c>
      <c r="G22" s="101"/>
      <c r="H22" s="505"/>
      <c r="I22" s="101">
        <f>E23</f>
        <v>214</v>
      </c>
      <c r="J22" s="720"/>
      <c r="K22" s="720"/>
      <c r="L22" s="720"/>
      <c r="M22" s="720"/>
      <c r="N22" s="720"/>
    </row>
    <row r="23" spans="1:10" ht="68.25" customHeight="1" hidden="1">
      <c r="A23" s="608"/>
      <c r="B23" s="625"/>
      <c r="C23" s="103" t="s">
        <v>844</v>
      </c>
      <c r="D23" s="104" t="s">
        <v>200</v>
      </c>
      <c r="E23" s="105">
        <f>46*4+30</f>
        <v>214</v>
      </c>
      <c r="F23" s="101"/>
      <c r="G23" s="105"/>
      <c r="H23" s="507"/>
      <c r="I23" s="105" t="s">
        <v>34</v>
      </c>
      <c r="J23" s="154"/>
    </row>
    <row r="24" spans="1:10" ht="31.5" customHeight="1" hidden="1">
      <c r="A24" s="612">
        <v>5</v>
      </c>
      <c r="B24" s="626" t="s">
        <v>295</v>
      </c>
      <c r="C24" s="376" t="s">
        <v>565</v>
      </c>
      <c r="D24" s="377" t="s">
        <v>560</v>
      </c>
      <c r="E24" s="272" t="s">
        <v>34</v>
      </c>
      <c r="F24" s="272"/>
      <c r="G24" s="272"/>
      <c r="H24" s="511"/>
      <c r="I24" s="272">
        <f>E25</f>
        <v>0</v>
      </c>
      <c r="J24" s="727"/>
    </row>
    <row r="25" spans="1:10" ht="61.5" customHeight="1" hidden="1">
      <c r="A25" s="612"/>
      <c r="B25" s="627"/>
      <c r="C25" s="380" t="s">
        <v>566</v>
      </c>
      <c r="D25" s="381" t="s">
        <v>564</v>
      </c>
      <c r="E25" s="382">
        <v>0</v>
      </c>
      <c r="F25" s="272"/>
      <c r="G25" s="382"/>
      <c r="H25" s="511"/>
      <c r="I25" s="382" t="s">
        <v>34</v>
      </c>
      <c r="J25" s="154"/>
    </row>
    <row r="26" spans="1:10" ht="18" customHeight="1">
      <c r="A26" s="611" t="s">
        <v>34</v>
      </c>
      <c r="B26" s="611" t="s">
        <v>15</v>
      </c>
      <c r="C26" s="814" t="s">
        <v>10</v>
      </c>
      <c r="D26" s="814"/>
      <c r="E26" s="814"/>
      <c r="F26" s="814"/>
      <c r="G26" s="814"/>
      <c r="H26" s="814"/>
      <c r="I26" s="814"/>
      <c r="J26" s="154"/>
    </row>
    <row r="27" spans="1:10" ht="18" customHeight="1">
      <c r="A27" s="608">
        <v>6</v>
      </c>
      <c r="B27" s="623" t="s">
        <v>30</v>
      </c>
      <c r="C27" s="99" t="s">
        <v>567</v>
      </c>
      <c r="D27" s="97" t="s">
        <v>199</v>
      </c>
      <c r="E27" s="101" t="s">
        <v>34</v>
      </c>
      <c r="F27" s="341">
        <f aca="true" t="shared" si="0" ref="F27:F57">I27</f>
        <v>212.94</v>
      </c>
      <c r="G27" s="101"/>
      <c r="H27" s="505"/>
      <c r="I27" s="101">
        <f>SUM(E28)</f>
        <v>212.94</v>
      </c>
      <c r="J27" s="154"/>
    </row>
    <row r="28" spans="1:10" ht="54" customHeight="1" hidden="1">
      <c r="A28" s="608"/>
      <c r="B28" s="625"/>
      <c r="C28" s="103" t="s">
        <v>972</v>
      </c>
      <c r="D28" s="104" t="s">
        <v>200</v>
      </c>
      <c r="E28" s="105">
        <f>E37+E34</f>
        <v>212.94</v>
      </c>
      <c r="F28" s="341" t="str">
        <f t="shared" si="0"/>
        <v>x</v>
      </c>
      <c r="G28" s="105"/>
      <c r="H28" s="505"/>
      <c r="I28" s="105" t="s">
        <v>34</v>
      </c>
      <c r="J28" s="154"/>
    </row>
    <row r="29" spans="1:11" ht="66" hidden="1">
      <c r="A29" s="607" t="s">
        <v>35</v>
      </c>
      <c r="B29" s="607" t="str">
        <f>B27</f>
        <v>01.02.04.11</v>
      </c>
      <c r="C29" s="90" t="s">
        <v>837</v>
      </c>
      <c r="D29" s="91" t="s">
        <v>201</v>
      </c>
      <c r="E29" s="92">
        <f>E28*0.2</f>
        <v>42.59</v>
      </c>
      <c r="F29" s="341">
        <f t="shared" si="0"/>
        <v>42.59</v>
      </c>
      <c r="G29" s="92"/>
      <c r="H29" s="505"/>
      <c r="I29" s="92">
        <f>E29</f>
        <v>42.59</v>
      </c>
      <c r="J29" s="721"/>
      <c r="K29" s="721"/>
    </row>
    <row r="30" spans="1:14" s="14" customFormat="1" ht="19.5" customHeight="1">
      <c r="A30" s="608">
        <v>7</v>
      </c>
      <c r="B30" s="623" t="s">
        <v>119</v>
      </c>
      <c r="C30" s="99" t="s">
        <v>874</v>
      </c>
      <c r="D30" s="97" t="s">
        <v>199</v>
      </c>
      <c r="E30" s="101" t="s">
        <v>34</v>
      </c>
      <c r="F30" s="341">
        <f t="shared" si="0"/>
        <v>23.1</v>
      </c>
      <c r="G30" s="101"/>
      <c r="H30" s="505"/>
      <c r="I30" s="101">
        <f>SUM(E31)</f>
        <v>23.1</v>
      </c>
      <c r="J30" s="720"/>
      <c r="K30" s="720"/>
      <c r="L30" s="720"/>
      <c r="M30" s="720"/>
      <c r="N30" s="720"/>
    </row>
    <row r="31" spans="1:10" ht="33" customHeight="1" hidden="1">
      <c r="A31" s="608"/>
      <c r="B31" s="625"/>
      <c r="C31" s="103" t="s">
        <v>875</v>
      </c>
      <c r="D31" s="104" t="s">
        <v>200</v>
      </c>
      <c r="E31" s="105">
        <f>'1.2.3. Zjazdy indywidualne'!N6</f>
        <v>23.1</v>
      </c>
      <c r="F31" s="341"/>
      <c r="G31" s="105"/>
      <c r="H31" s="505"/>
      <c r="I31" s="105" t="s">
        <v>34</v>
      </c>
      <c r="J31" s="154"/>
    </row>
    <row r="32" spans="1:175" s="15" customFormat="1" ht="40.5" customHeight="1" hidden="1">
      <c r="A32" s="607" t="s">
        <v>146</v>
      </c>
      <c r="B32" s="607" t="str">
        <f>B30</f>
        <v>01.02.04.21</v>
      </c>
      <c r="C32" s="90" t="s">
        <v>876</v>
      </c>
      <c r="D32" s="91" t="s">
        <v>201</v>
      </c>
      <c r="E32" s="92">
        <f>E31*0.1</f>
        <v>2.31</v>
      </c>
      <c r="F32" s="341">
        <f t="shared" si="0"/>
        <v>3.47</v>
      </c>
      <c r="G32" s="92"/>
      <c r="H32" s="505"/>
      <c r="I32" s="92">
        <f>0.15*I30</f>
        <v>3.47</v>
      </c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</row>
    <row r="33" spans="1:175" s="15" customFormat="1" ht="28.5" customHeight="1">
      <c r="A33" s="608">
        <v>8</v>
      </c>
      <c r="B33" s="623" t="s">
        <v>31</v>
      </c>
      <c r="C33" s="99" t="s">
        <v>575</v>
      </c>
      <c r="D33" s="97" t="s">
        <v>199</v>
      </c>
      <c r="E33" s="101" t="s">
        <v>34</v>
      </c>
      <c r="F33" s="341">
        <f t="shared" si="0"/>
        <v>66.52</v>
      </c>
      <c r="G33" s="101"/>
      <c r="H33" s="505"/>
      <c r="I33" s="101">
        <f>SUM(E34)</f>
        <v>66.52</v>
      </c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</row>
    <row r="34" spans="1:175" s="15" customFormat="1" ht="45.75" customHeight="1" hidden="1">
      <c r="A34" s="608"/>
      <c r="B34" s="625"/>
      <c r="C34" s="103" t="s">
        <v>892</v>
      </c>
      <c r="D34" s="104" t="s">
        <v>200</v>
      </c>
      <c r="E34" s="105">
        <v>66.52</v>
      </c>
      <c r="F34" s="341" t="str">
        <f t="shared" si="0"/>
        <v>x</v>
      </c>
      <c r="G34" s="105"/>
      <c r="H34" s="505"/>
      <c r="I34" s="105" t="s">
        <v>34</v>
      </c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</row>
    <row r="35" spans="1:175" s="15" customFormat="1" ht="39.75" customHeight="1" hidden="1">
      <c r="A35" s="607" t="s">
        <v>147</v>
      </c>
      <c r="B35" s="607" t="str">
        <f>B33</f>
        <v>01.02.04.22</v>
      </c>
      <c r="C35" s="90" t="s">
        <v>893</v>
      </c>
      <c r="D35" s="91" t="s">
        <v>201</v>
      </c>
      <c r="E35" s="92">
        <f>E34*0.05</f>
        <v>3.33</v>
      </c>
      <c r="F35" s="341">
        <f t="shared" si="0"/>
        <v>3.33</v>
      </c>
      <c r="G35" s="92"/>
      <c r="H35" s="505"/>
      <c r="I35" s="92">
        <f>E35</f>
        <v>3.33</v>
      </c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</row>
    <row r="36" spans="1:175" s="15" customFormat="1" ht="20.25" customHeight="1">
      <c r="A36" s="608">
        <v>9</v>
      </c>
      <c r="B36" s="623" t="s">
        <v>149</v>
      </c>
      <c r="C36" s="99" t="s">
        <v>578</v>
      </c>
      <c r="D36" s="97" t="s">
        <v>199</v>
      </c>
      <c r="E36" s="557" t="s">
        <v>34</v>
      </c>
      <c r="F36" s="341"/>
      <c r="G36" s="557"/>
      <c r="H36" s="505"/>
      <c r="I36" s="557">
        <f>E37</f>
        <v>146.42</v>
      </c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</row>
    <row r="37" spans="1:175" s="15" customFormat="1" ht="52.5" hidden="1">
      <c r="A37" s="608"/>
      <c r="B37" s="625"/>
      <c r="C37" s="103" t="s">
        <v>825</v>
      </c>
      <c r="D37" s="104" t="s">
        <v>200</v>
      </c>
      <c r="E37" s="558">
        <v>146.42</v>
      </c>
      <c r="F37" s="341" t="str">
        <f t="shared" si="0"/>
        <v>x</v>
      </c>
      <c r="G37" s="558"/>
      <c r="H37" s="505"/>
      <c r="I37" s="558" t="s">
        <v>34</v>
      </c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</row>
    <row r="38" spans="1:175" s="15" customFormat="1" ht="73.5" customHeight="1" hidden="1">
      <c r="A38" s="607" t="s">
        <v>148</v>
      </c>
      <c r="B38" s="607" t="str">
        <f>B36</f>
        <v>01.02.04.24</v>
      </c>
      <c r="C38" s="90" t="s">
        <v>838</v>
      </c>
      <c r="D38" s="91" t="s">
        <v>201</v>
      </c>
      <c r="E38" s="559">
        <f>E37*0.06</f>
        <v>8.79</v>
      </c>
      <c r="F38" s="341">
        <f t="shared" si="0"/>
        <v>8.79</v>
      </c>
      <c r="G38" s="559"/>
      <c r="H38" s="505"/>
      <c r="I38" s="559">
        <f>E38</f>
        <v>8.79</v>
      </c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</row>
    <row r="39" spans="1:175" s="15" customFormat="1" ht="21" customHeight="1" hidden="1">
      <c r="A39" s="608">
        <v>10</v>
      </c>
      <c r="B39" s="623" t="s">
        <v>581</v>
      </c>
      <c r="C39" s="99" t="s">
        <v>582</v>
      </c>
      <c r="D39" s="97" t="s">
        <v>199</v>
      </c>
      <c r="E39" s="101" t="s">
        <v>34</v>
      </c>
      <c r="F39" s="341">
        <f t="shared" si="0"/>
        <v>18</v>
      </c>
      <c r="G39" s="101"/>
      <c r="H39" s="505"/>
      <c r="I39" s="101">
        <f>SUM(E40)</f>
        <v>18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</row>
    <row r="40" spans="1:175" s="15" customFormat="1" ht="42.75" customHeight="1" hidden="1">
      <c r="A40" s="608"/>
      <c r="B40" s="625"/>
      <c r="C40" s="103" t="s">
        <v>583</v>
      </c>
      <c r="D40" s="104" t="s">
        <v>200</v>
      </c>
      <c r="E40" s="105">
        <f>18</f>
        <v>18</v>
      </c>
      <c r="F40" s="341" t="str">
        <f t="shared" si="0"/>
        <v>x</v>
      </c>
      <c r="G40" s="105"/>
      <c r="H40" s="505"/>
      <c r="I40" s="105" t="s">
        <v>34</v>
      </c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</row>
    <row r="41" spans="1:175" s="15" customFormat="1" ht="38.25" customHeight="1" hidden="1">
      <c r="A41" s="607" t="s">
        <v>36</v>
      </c>
      <c r="B41" s="607" t="str">
        <f>B39</f>
        <v>01.02.04.23</v>
      </c>
      <c r="C41" s="90" t="s">
        <v>584</v>
      </c>
      <c r="D41" s="91" t="s">
        <v>201</v>
      </c>
      <c r="E41" s="92">
        <f>E40*0.1</f>
        <v>1.8</v>
      </c>
      <c r="F41" s="341">
        <f t="shared" si="0"/>
        <v>1.8</v>
      </c>
      <c r="G41" s="92"/>
      <c r="H41" s="505"/>
      <c r="I41" s="92">
        <f>E41</f>
        <v>1.8</v>
      </c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</row>
    <row r="42" spans="1:175" s="15" customFormat="1" ht="18" customHeight="1">
      <c r="A42" s="608" t="s">
        <v>990</v>
      </c>
      <c r="B42" s="623" t="s">
        <v>585</v>
      </c>
      <c r="C42" s="99" t="s">
        <v>762</v>
      </c>
      <c r="D42" s="97" t="s">
        <v>11</v>
      </c>
      <c r="E42" s="101" t="s">
        <v>34</v>
      </c>
      <c r="F42" s="341">
        <f t="shared" si="0"/>
        <v>196</v>
      </c>
      <c r="G42" s="101"/>
      <c r="H42" s="505"/>
      <c r="I42" s="101">
        <f>SUM(E43)</f>
        <v>196</v>
      </c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</row>
    <row r="43" spans="1:175" s="15" customFormat="1" ht="90.75" customHeight="1" hidden="1">
      <c r="A43" s="608"/>
      <c r="B43" s="627"/>
      <c r="C43" s="103" t="s">
        <v>845</v>
      </c>
      <c r="D43" s="104" t="s">
        <v>11</v>
      </c>
      <c r="E43" s="105">
        <f>98*2</f>
        <v>196</v>
      </c>
      <c r="F43" s="341" t="str">
        <f t="shared" si="0"/>
        <v>x</v>
      </c>
      <c r="G43" s="105"/>
      <c r="H43" s="505"/>
      <c r="I43" s="105" t="s">
        <v>34</v>
      </c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</row>
    <row r="44" spans="1:175" s="15" customFormat="1" ht="69" customHeight="1" hidden="1">
      <c r="A44" s="607" t="s">
        <v>36</v>
      </c>
      <c r="B44" s="607" t="str">
        <f>B42</f>
        <v>01.02.04.41</v>
      </c>
      <c r="C44" s="90" t="s">
        <v>846</v>
      </c>
      <c r="D44" s="91" t="s">
        <v>201</v>
      </c>
      <c r="E44" s="92">
        <f>E43*0.3*0.15</f>
        <v>8.82</v>
      </c>
      <c r="F44" s="341">
        <f t="shared" si="0"/>
        <v>8.82</v>
      </c>
      <c r="G44" s="92"/>
      <c r="H44" s="505"/>
      <c r="I44" s="92">
        <f>E44</f>
        <v>8.82</v>
      </c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</row>
    <row r="45" spans="1:175" s="15" customFormat="1" ht="19.5" customHeight="1" hidden="1">
      <c r="A45" s="608">
        <v>12</v>
      </c>
      <c r="B45" s="623" t="s">
        <v>155</v>
      </c>
      <c r="C45" s="99" t="s">
        <v>589</v>
      </c>
      <c r="D45" s="97" t="s">
        <v>11</v>
      </c>
      <c r="E45" s="101" t="s">
        <v>34</v>
      </c>
      <c r="F45" s="341">
        <f t="shared" si="0"/>
        <v>78.9</v>
      </c>
      <c r="G45" s="101"/>
      <c r="H45" s="505"/>
      <c r="I45" s="101">
        <f>SUM(E46)</f>
        <v>78.9</v>
      </c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</row>
    <row r="46" spans="1:175" s="15" customFormat="1" ht="42" customHeight="1" hidden="1">
      <c r="A46" s="607"/>
      <c r="B46" s="607"/>
      <c r="C46" s="90" t="s">
        <v>654</v>
      </c>
      <c r="D46" s="91" t="s">
        <v>11</v>
      </c>
      <c r="E46" s="92">
        <f>78.9</f>
        <v>78.9</v>
      </c>
      <c r="F46" s="341" t="str">
        <f t="shared" si="0"/>
        <v>x</v>
      </c>
      <c r="G46" s="92"/>
      <c r="H46" s="505"/>
      <c r="I46" s="92" t="s">
        <v>34</v>
      </c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</row>
    <row r="47" spans="1:175" s="15" customFormat="1" ht="40.5" customHeight="1" hidden="1">
      <c r="A47" s="607" t="s">
        <v>591</v>
      </c>
      <c r="B47" s="607" t="str">
        <f>B45</f>
        <v>01.02.04.71</v>
      </c>
      <c r="C47" s="90" t="s">
        <v>592</v>
      </c>
      <c r="D47" s="91" t="s">
        <v>201</v>
      </c>
      <c r="E47" s="92">
        <f>(3.14*0.25*0.25*78.9-3.14*0.2*0.2*78.9)</f>
        <v>5.57</v>
      </c>
      <c r="F47" s="341">
        <f t="shared" si="0"/>
        <v>5.57</v>
      </c>
      <c r="G47" s="92"/>
      <c r="H47" s="505"/>
      <c r="I47" s="92">
        <f>E47</f>
        <v>5.57</v>
      </c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</row>
    <row r="48" spans="1:175" s="15" customFormat="1" ht="18.75" customHeight="1" hidden="1">
      <c r="A48" s="608">
        <v>13</v>
      </c>
      <c r="B48" s="623" t="s">
        <v>152</v>
      </c>
      <c r="C48" s="99" t="s">
        <v>593</v>
      </c>
      <c r="D48" s="97" t="s">
        <v>11</v>
      </c>
      <c r="E48" s="101" t="s">
        <v>34</v>
      </c>
      <c r="F48" s="341">
        <f t="shared" si="0"/>
        <v>1</v>
      </c>
      <c r="G48" s="101"/>
      <c r="H48" s="505"/>
      <c r="I48" s="101">
        <f>SUM(E49)</f>
        <v>1</v>
      </c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</row>
    <row r="49" spans="1:175" s="15" customFormat="1" ht="45.75" customHeight="1" hidden="1">
      <c r="A49" s="607"/>
      <c r="B49" s="607"/>
      <c r="C49" s="90" t="s">
        <v>594</v>
      </c>
      <c r="D49" s="91" t="s">
        <v>11</v>
      </c>
      <c r="E49" s="92">
        <v>1</v>
      </c>
      <c r="F49" s="341" t="str">
        <f t="shared" si="0"/>
        <v>x</v>
      </c>
      <c r="G49" s="92"/>
      <c r="H49" s="505"/>
      <c r="I49" s="92" t="s">
        <v>34</v>
      </c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</row>
    <row r="50" spans="1:175" s="15" customFormat="1" ht="40.5" customHeight="1" hidden="1">
      <c r="A50" s="607" t="s">
        <v>595</v>
      </c>
      <c r="B50" s="607" t="str">
        <f>B48</f>
        <v>01.02.04.72</v>
      </c>
      <c r="C50" s="90" t="s">
        <v>596</v>
      </c>
      <c r="D50" s="91" t="s">
        <v>201</v>
      </c>
      <c r="E50" s="92">
        <f>(3.14*0.35*0.35*1-3.14*0.3*0.3*1)</f>
        <v>0.1</v>
      </c>
      <c r="F50" s="341">
        <f t="shared" si="0"/>
        <v>0.1</v>
      </c>
      <c r="G50" s="92"/>
      <c r="H50" s="505"/>
      <c r="I50" s="92">
        <f>E50</f>
        <v>0.1</v>
      </c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</row>
    <row r="51" spans="1:175" s="15" customFormat="1" ht="18.75" customHeight="1" hidden="1">
      <c r="A51" s="608">
        <v>6</v>
      </c>
      <c r="B51" s="623" t="s">
        <v>32</v>
      </c>
      <c r="C51" s="99" t="s">
        <v>153</v>
      </c>
      <c r="D51" s="97" t="s">
        <v>9</v>
      </c>
      <c r="E51" s="101" t="s">
        <v>34</v>
      </c>
      <c r="F51" s="341">
        <f t="shared" si="0"/>
        <v>3</v>
      </c>
      <c r="G51" s="101"/>
      <c r="H51" s="505"/>
      <c r="I51" s="101">
        <f>SUM(E52)</f>
        <v>3</v>
      </c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</row>
    <row r="52" spans="1:175" s="15" customFormat="1" ht="40.5" customHeight="1" hidden="1">
      <c r="A52" s="607"/>
      <c r="B52" s="607"/>
      <c r="C52" s="90" t="s">
        <v>761</v>
      </c>
      <c r="D52" s="91" t="s">
        <v>9</v>
      </c>
      <c r="E52" s="92">
        <v>3</v>
      </c>
      <c r="F52" s="341" t="str">
        <f t="shared" si="0"/>
        <v>x</v>
      </c>
      <c r="G52" s="92"/>
      <c r="H52" s="505"/>
      <c r="I52" s="92" t="s">
        <v>34</v>
      </c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</row>
    <row r="53" spans="1:176" s="15" customFormat="1" ht="18" customHeight="1" hidden="1">
      <c r="A53" s="608">
        <v>7</v>
      </c>
      <c r="B53" s="623" t="s">
        <v>121</v>
      </c>
      <c r="C53" s="99" t="s">
        <v>154</v>
      </c>
      <c r="D53" s="97" t="s">
        <v>9</v>
      </c>
      <c r="E53" s="101" t="s">
        <v>34</v>
      </c>
      <c r="F53" s="341">
        <f t="shared" si="0"/>
        <v>5</v>
      </c>
      <c r="G53" s="101"/>
      <c r="H53" s="505"/>
      <c r="I53" s="101">
        <f>SUM(E54)</f>
        <v>5</v>
      </c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</row>
    <row r="54" spans="1:175" s="15" customFormat="1" ht="32.25" customHeight="1" hidden="1">
      <c r="A54" s="607"/>
      <c r="B54" s="607"/>
      <c r="C54" s="90" t="s">
        <v>721</v>
      </c>
      <c r="D54" s="91" t="s">
        <v>9</v>
      </c>
      <c r="E54" s="92">
        <v>5</v>
      </c>
      <c r="F54" s="341" t="str">
        <f t="shared" si="0"/>
        <v>x</v>
      </c>
      <c r="G54" s="92"/>
      <c r="H54" s="505"/>
      <c r="I54" s="92" t="s">
        <v>34</v>
      </c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</row>
    <row r="55" spans="1:175" s="15" customFormat="1" ht="24.75" customHeight="1">
      <c r="A55" s="608" t="s">
        <v>991</v>
      </c>
      <c r="B55" s="608" t="s">
        <v>849</v>
      </c>
      <c r="C55" s="99" t="s">
        <v>850</v>
      </c>
      <c r="D55" s="97" t="s">
        <v>11</v>
      </c>
      <c r="E55" s="101" t="s">
        <v>34</v>
      </c>
      <c r="F55" s="341">
        <f t="shared" si="0"/>
        <v>80</v>
      </c>
      <c r="G55" s="101"/>
      <c r="H55" s="505"/>
      <c r="I55" s="101">
        <f>SUM(E56)</f>
        <v>80</v>
      </c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</row>
    <row r="56" spans="1:175" s="15" customFormat="1" ht="78.75" hidden="1">
      <c r="A56" s="628"/>
      <c r="B56" s="628"/>
      <c r="C56" s="90" t="s">
        <v>971</v>
      </c>
      <c r="D56" s="104" t="s">
        <v>11</v>
      </c>
      <c r="E56" s="105">
        <v>80</v>
      </c>
      <c r="F56" s="341" t="str">
        <f t="shared" si="0"/>
        <v>x</v>
      </c>
      <c r="G56" s="105"/>
      <c r="H56" s="505"/>
      <c r="I56" s="105" t="s">
        <v>34</v>
      </c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</row>
    <row r="57" spans="1:175" s="15" customFormat="1" ht="19.5" customHeight="1">
      <c r="A57" s="608" t="s">
        <v>992</v>
      </c>
      <c r="B57" s="623" t="s">
        <v>156</v>
      </c>
      <c r="C57" s="99" t="s">
        <v>847</v>
      </c>
      <c r="D57" s="97" t="s">
        <v>11</v>
      </c>
      <c r="E57" s="101" t="s">
        <v>34</v>
      </c>
      <c r="F57" s="341">
        <f t="shared" si="0"/>
        <v>15.8</v>
      </c>
      <c r="G57" s="101"/>
      <c r="H57" s="505"/>
      <c r="I57" s="101">
        <f>SUM(E58)</f>
        <v>15.8</v>
      </c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</row>
    <row r="58" spans="1:175" s="15" customFormat="1" ht="99" customHeight="1" hidden="1">
      <c r="A58" s="607"/>
      <c r="B58" s="607"/>
      <c r="C58" s="90" t="s">
        <v>973</v>
      </c>
      <c r="D58" s="91" t="s">
        <v>11</v>
      </c>
      <c r="E58" s="92">
        <v>15.8</v>
      </c>
      <c r="F58" s="100"/>
      <c r="G58" s="92"/>
      <c r="H58" s="505"/>
      <c r="I58" s="92" t="s">
        <v>34</v>
      </c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</row>
    <row r="59" spans="1:175" s="15" customFormat="1" ht="15">
      <c r="A59" s="844" t="s">
        <v>802</v>
      </c>
      <c r="B59" s="844"/>
      <c r="C59" s="844"/>
      <c r="D59" s="844"/>
      <c r="E59" s="844"/>
      <c r="F59" s="844"/>
      <c r="G59" s="844"/>
      <c r="H59" s="529"/>
      <c r="I59" s="92"/>
      <c r="J59" s="78"/>
      <c r="K59" s="658">
        <f>H59</f>
        <v>0</v>
      </c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</row>
    <row r="60" spans="1:139" s="15" customFormat="1" ht="27" customHeight="1">
      <c r="A60" s="610" t="s">
        <v>62</v>
      </c>
      <c r="B60" s="610" t="s">
        <v>122</v>
      </c>
      <c r="C60" s="848" t="s">
        <v>213</v>
      </c>
      <c r="D60" s="848"/>
      <c r="E60" s="848"/>
      <c r="F60" s="848"/>
      <c r="G60" s="848"/>
      <c r="H60" s="848"/>
      <c r="I60" s="84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</row>
    <row r="61" spans="1:139" s="15" customFormat="1" ht="20.25" customHeight="1" hidden="1">
      <c r="A61" s="611" t="s">
        <v>34</v>
      </c>
      <c r="B61" s="611" t="s">
        <v>157</v>
      </c>
      <c r="C61" s="814" t="s">
        <v>162</v>
      </c>
      <c r="D61" s="814"/>
      <c r="E61" s="814"/>
      <c r="F61" s="814"/>
      <c r="G61" s="814"/>
      <c r="H61" s="814"/>
      <c r="I61" s="814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</row>
    <row r="62" spans="1:139" s="15" customFormat="1" ht="27" customHeight="1" hidden="1">
      <c r="A62" s="608">
        <v>17</v>
      </c>
      <c r="B62" s="608" t="s">
        <v>158</v>
      </c>
      <c r="C62" s="108" t="s">
        <v>159</v>
      </c>
      <c r="D62" s="97" t="s">
        <v>202</v>
      </c>
      <c r="E62" s="101" t="s">
        <v>34</v>
      </c>
      <c r="F62" s="101"/>
      <c r="G62" s="101"/>
      <c r="H62" s="507"/>
      <c r="I62" s="101">
        <f>E63</f>
        <v>0</v>
      </c>
      <c r="J62" s="392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</row>
    <row r="63" spans="1:139" s="15" customFormat="1" ht="46.5" customHeight="1" hidden="1">
      <c r="A63" s="608"/>
      <c r="B63" s="623"/>
      <c r="C63" s="103" t="s">
        <v>601</v>
      </c>
      <c r="D63" s="104" t="s">
        <v>201</v>
      </c>
      <c r="E63" s="105">
        <v>0</v>
      </c>
      <c r="F63" s="101"/>
      <c r="G63" s="105"/>
      <c r="H63" s="507"/>
      <c r="I63" s="101" t="s">
        <v>34</v>
      </c>
      <c r="J63" s="8"/>
      <c r="K63" s="8"/>
      <c r="L63" s="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</row>
    <row r="64" spans="1:139" s="15" customFormat="1" ht="24.75" customHeight="1">
      <c r="A64" s="608" t="s">
        <v>993</v>
      </c>
      <c r="B64" s="608" t="s">
        <v>160</v>
      </c>
      <c r="C64" s="108" t="s">
        <v>161</v>
      </c>
      <c r="D64" s="97" t="s">
        <v>202</v>
      </c>
      <c r="E64" s="101" t="s">
        <v>34</v>
      </c>
      <c r="F64" s="341">
        <f>I64</f>
        <v>150.1</v>
      </c>
      <c r="G64" s="101"/>
      <c r="H64" s="505"/>
      <c r="I64" s="101">
        <f>E65</f>
        <v>150.1</v>
      </c>
      <c r="J64" s="392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</row>
    <row r="65" spans="1:139" s="15" customFormat="1" ht="59.25" customHeight="1" hidden="1">
      <c r="A65" s="608"/>
      <c r="B65" s="623"/>
      <c r="C65" s="103" t="s">
        <v>868</v>
      </c>
      <c r="D65" s="104" t="s">
        <v>201</v>
      </c>
      <c r="E65" s="105">
        <f>1.52*98.75</f>
        <v>150.1</v>
      </c>
      <c r="F65" s="101"/>
      <c r="G65" s="105"/>
      <c r="H65" s="507"/>
      <c r="I65" s="101" t="s">
        <v>34</v>
      </c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</row>
    <row r="66" spans="1:14" s="14" customFormat="1" ht="18" customHeight="1">
      <c r="A66" s="611" t="s">
        <v>34</v>
      </c>
      <c r="B66" s="611" t="s">
        <v>75</v>
      </c>
      <c r="C66" s="814" t="s">
        <v>76</v>
      </c>
      <c r="D66" s="814"/>
      <c r="E66" s="814"/>
      <c r="F66" s="814"/>
      <c r="G66" s="814"/>
      <c r="H66" s="814"/>
      <c r="I66" s="814"/>
      <c r="J66" s="720"/>
      <c r="K66" s="720"/>
      <c r="L66" s="720"/>
      <c r="M66" s="720"/>
      <c r="N66" s="720"/>
    </row>
    <row r="67" spans="1:14" s="14" customFormat="1" ht="19.5" customHeight="1" hidden="1">
      <c r="A67" s="613">
        <v>19</v>
      </c>
      <c r="B67" s="608" t="s">
        <v>163</v>
      </c>
      <c r="C67" s="136" t="s">
        <v>164</v>
      </c>
      <c r="D67" s="109" t="s">
        <v>202</v>
      </c>
      <c r="E67" s="110" t="s">
        <v>34</v>
      </c>
      <c r="F67" s="110"/>
      <c r="G67" s="110"/>
      <c r="H67" s="507"/>
      <c r="I67" s="110">
        <f>E68</f>
        <v>0</v>
      </c>
      <c r="J67" s="728"/>
      <c r="K67" s="720"/>
      <c r="L67" s="720"/>
      <c r="M67" s="720"/>
      <c r="N67" s="720"/>
    </row>
    <row r="68" spans="1:14" s="14" customFormat="1" ht="33" customHeight="1" hidden="1">
      <c r="A68" s="613"/>
      <c r="B68" s="623"/>
      <c r="C68" s="137" t="s">
        <v>603</v>
      </c>
      <c r="D68" s="104" t="s">
        <v>201</v>
      </c>
      <c r="E68" s="105">
        <f>E63</f>
        <v>0</v>
      </c>
      <c r="F68" s="101"/>
      <c r="G68" s="105"/>
      <c r="H68" s="507"/>
      <c r="I68" s="105" t="s">
        <v>34</v>
      </c>
      <c r="J68" s="720"/>
      <c r="K68" s="720"/>
      <c r="L68" s="720"/>
      <c r="M68" s="720"/>
      <c r="N68" s="720"/>
    </row>
    <row r="69" spans="1:14" s="14" customFormat="1" ht="27.75" customHeight="1">
      <c r="A69" s="613" t="s">
        <v>994</v>
      </c>
      <c r="B69" s="608" t="s">
        <v>163</v>
      </c>
      <c r="C69" s="136" t="s">
        <v>604</v>
      </c>
      <c r="D69" s="109" t="s">
        <v>202</v>
      </c>
      <c r="E69" s="110" t="s">
        <v>34</v>
      </c>
      <c r="F69" s="341">
        <f>I69</f>
        <v>202.64</v>
      </c>
      <c r="G69" s="110"/>
      <c r="H69" s="505"/>
      <c r="I69" s="110">
        <f>E70</f>
        <v>202.64</v>
      </c>
      <c r="J69" s="728"/>
      <c r="K69" s="720"/>
      <c r="L69" s="720"/>
      <c r="M69" s="720"/>
      <c r="N69" s="720"/>
    </row>
    <row r="70" spans="1:14" s="14" customFormat="1" ht="45.75" customHeight="1" hidden="1">
      <c r="A70" s="613"/>
      <c r="B70" s="623"/>
      <c r="C70" s="137" t="s">
        <v>869</v>
      </c>
      <c r="D70" s="104" t="s">
        <v>201</v>
      </c>
      <c r="E70" s="105">
        <f>E65*1.35</f>
        <v>202.64</v>
      </c>
      <c r="F70" s="101"/>
      <c r="G70" s="105"/>
      <c r="H70" s="507"/>
      <c r="I70" s="105" t="s">
        <v>34</v>
      </c>
      <c r="J70" s="720"/>
      <c r="K70" s="720"/>
      <c r="L70" s="720"/>
      <c r="M70" s="720"/>
      <c r="N70" s="720"/>
    </row>
    <row r="71" spans="1:14" s="14" customFormat="1" ht="15">
      <c r="A71" s="844" t="s">
        <v>804</v>
      </c>
      <c r="B71" s="844"/>
      <c r="C71" s="844"/>
      <c r="D71" s="844"/>
      <c r="E71" s="844"/>
      <c r="F71" s="844"/>
      <c r="G71" s="844"/>
      <c r="H71" s="529"/>
      <c r="I71" s="105"/>
      <c r="J71" s="720"/>
      <c r="K71" s="719">
        <f>H71</f>
        <v>0</v>
      </c>
      <c r="L71" s="720"/>
      <c r="M71" s="720"/>
      <c r="N71" s="720"/>
    </row>
    <row r="72" spans="1:14" s="3" customFormat="1" ht="32.25" customHeight="1">
      <c r="A72" s="610" t="s">
        <v>52</v>
      </c>
      <c r="B72" s="610" t="s">
        <v>123</v>
      </c>
      <c r="C72" s="848" t="s">
        <v>203</v>
      </c>
      <c r="D72" s="848"/>
      <c r="E72" s="848"/>
      <c r="F72" s="848"/>
      <c r="G72" s="848"/>
      <c r="H72" s="848"/>
      <c r="I72" s="848"/>
      <c r="J72" s="525"/>
      <c r="K72" s="525"/>
      <c r="L72" s="525"/>
      <c r="M72" s="525"/>
      <c r="N72" s="525"/>
    </row>
    <row r="73" spans="1:14" s="3" customFormat="1" ht="18" customHeight="1" hidden="1">
      <c r="A73" s="611" t="s">
        <v>34</v>
      </c>
      <c r="B73" s="611" t="s">
        <v>165</v>
      </c>
      <c r="C73" s="814" t="s">
        <v>166</v>
      </c>
      <c r="D73" s="814"/>
      <c r="E73" s="814"/>
      <c r="F73" s="814"/>
      <c r="G73" s="814"/>
      <c r="H73" s="814"/>
      <c r="I73" s="814"/>
      <c r="J73" s="525"/>
      <c r="K73" s="525"/>
      <c r="L73" s="525"/>
      <c r="M73" s="525"/>
      <c r="N73" s="525"/>
    </row>
    <row r="74" spans="1:14" s="3" customFormat="1" ht="19.5" customHeight="1" hidden="1">
      <c r="A74" s="613">
        <v>18</v>
      </c>
      <c r="B74" s="608" t="s">
        <v>167</v>
      </c>
      <c r="C74" s="136" t="s">
        <v>168</v>
      </c>
      <c r="D74" s="109" t="s">
        <v>11</v>
      </c>
      <c r="E74" s="110" t="s">
        <v>34</v>
      </c>
      <c r="F74" s="110"/>
      <c r="G74" s="110"/>
      <c r="H74" s="507"/>
      <c r="I74" s="110">
        <f>E75</f>
        <v>2</v>
      </c>
      <c r="J74" s="525"/>
      <c r="K74" s="525"/>
      <c r="L74" s="525"/>
      <c r="M74" s="525"/>
      <c r="N74" s="525"/>
    </row>
    <row r="75" spans="1:14" s="3" customFormat="1" ht="69" customHeight="1" hidden="1">
      <c r="A75" s="613"/>
      <c r="B75" s="623"/>
      <c r="C75" s="137" t="s">
        <v>453</v>
      </c>
      <c r="D75" s="104" t="s">
        <v>11</v>
      </c>
      <c r="E75" s="105">
        <f>2</f>
        <v>2</v>
      </c>
      <c r="F75" s="101"/>
      <c r="G75" s="105"/>
      <c r="H75" s="507"/>
      <c r="I75" s="105" t="s">
        <v>34</v>
      </c>
      <c r="J75" s="525"/>
      <c r="K75" s="525"/>
      <c r="L75" s="525"/>
      <c r="M75" s="525"/>
      <c r="N75" s="525"/>
    </row>
    <row r="76" spans="1:14" s="3" customFormat="1" ht="18" customHeight="1" hidden="1">
      <c r="A76" s="607" t="s">
        <v>301</v>
      </c>
      <c r="B76" s="607" t="str">
        <f>B74</f>
        <v>03.01.01.11</v>
      </c>
      <c r="C76" s="90" t="s">
        <v>169</v>
      </c>
      <c r="D76" s="91" t="s">
        <v>34</v>
      </c>
      <c r="E76" s="92" t="s">
        <v>34</v>
      </c>
      <c r="F76" s="100"/>
      <c r="G76" s="92"/>
      <c r="H76" s="505"/>
      <c r="I76" s="92" t="s">
        <v>34</v>
      </c>
      <c r="J76" s="525"/>
      <c r="K76" s="525"/>
      <c r="L76" s="525"/>
      <c r="M76" s="525"/>
      <c r="N76" s="525"/>
    </row>
    <row r="77" spans="1:14" s="3" customFormat="1" ht="17.25" customHeight="1" hidden="1">
      <c r="A77" s="614"/>
      <c r="B77" s="629"/>
      <c r="C77" s="196" t="s">
        <v>254</v>
      </c>
      <c r="D77" s="197" t="s">
        <v>300</v>
      </c>
      <c r="E77" s="198">
        <f>0.66*2</f>
        <v>1.32</v>
      </c>
      <c r="F77" s="644"/>
      <c r="G77" s="198"/>
      <c r="H77" s="648"/>
      <c r="I77" s="198">
        <f>E77</f>
        <v>1.32</v>
      </c>
      <c r="J77" s="525"/>
      <c r="K77" s="525"/>
      <c r="L77" s="525"/>
      <c r="M77" s="525"/>
      <c r="N77" s="525"/>
    </row>
    <row r="78" spans="1:14" s="3" customFormat="1" ht="27" customHeight="1" hidden="1">
      <c r="A78" s="615"/>
      <c r="B78" s="629"/>
      <c r="C78" s="199" t="s">
        <v>253</v>
      </c>
      <c r="D78" s="197" t="s">
        <v>300</v>
      </c>
      <c r="E78" s="198">
        <f>2*0.13</f>
        <v>0.26</v>
      </c>
      <c r="F78" s="644"/>
      <c r="G78" s="198"/>
      <c r="H78" s="648"/>
      <c r="I78" s="198">
        <f>E78</f>
        <v>0.26</v>
      </c>
      <c r="J78" s="525"/>
      <c r="K78" s="525"/>
      <c r="L78" s="525"/>
      <c r="M78" s="525"/>
      <c r="N78" s="525"/>
    </row>
    <row r="79" spans="1:14" s="3" customFormat="1" ht="20.25" customHeight="1" hidden="1">
      <c r="A79" s="615"/>
      <c r="B79" s="629"/>
      <c r="C79" s="196" t="s">
        <v>255</v>
      </c>
      <c r="D79" s="197" t="s">
        <v>300</v>
      </c>
      <c r="E79" s="198">
        <f>0.66</f>
        <v>0.66</v>
      </c>
      <c r="F79" s="644"/>
      <c r="G79" s="198"/>
      <c r="H79" s="648"/>
      <c r="I79" s="198">
        <f>E79</f>
        <v>0.66</v>
      </c>
      <c r="J79" s="525"/>
      <c r="K79" s="525"/>
      <c r="L79" s="525"/>
      <c r="M79" s="525"/>
      <c r="N79" s="525"/>
    </row>
    <row r="80" spans="1:14" s="3" customFormat="1" ht="19.5" customHeight="1" hidden="1">
      <c r="A80" s="611" t="s">
        <v>34</v>
      </c>
      <c r="B80" s="611" t="s">
        <v>170</v>
      </c>
      <c r="C80" s="814" t="s">
        <v>171</v>
      </c>
      <c r="D80" s="814"/>
      <c r="E80" s="814"/>
      <c r="F80" s="814"/>
      <c r="G80" s="814"/>
      <c r="H80" s="814"/>
      <c r="I80" s="814"/>
      <c r="J80" s="525"/>
      <c r="K80" s="525"/>
      <c r="L80" s="525"/>
      <c r="M80" s="525"/>
      <c r="N80" s="525"/>
    </row>
    <row r="81" spans="1:14" s="3" customFormat="1" ht="18" customHeight="1" hidden="1">
      <c r="A81" s="613">
        <v>21</v>
      </c>
      <c r="B81" s="608" t="s">
        <v>172</v>
      </c>
      <c r="C81" s="136" t="s">
        <v>607</v>
      </c>
      <c r="D81" s="109" t="s">
        <v>11</v>
      </c>
      <c r="E81" s="110" t="s">
        <v>34</v>
      </c>
      <c r="F81" s="110"/>
      <c r="G81" s="110"/>
      <c r="H81" s="507"/>
      <c r="I81" s="110">
        <f>E82</f>
        <v>9.5</v>
      </c>
      <c r="J81" s="525"/>
      <c r="K81" s="525"/>
      <c r="L81" s="525"/>
      <c r="M81" s="525"/>
      <c r="N81" s="525"/>
    </row>
    <row r="82" spans="1:14" s="3" customFormat="1" ht="30" customHeight="1" hidden="1">
      <c r="A82" s="613"/>
      <c r="B82" s="623"/>
      <c r="C82" s="137" t="s">
        <v>608</v>
      </c>
      <c r="D82" s="104" t="s">
        <v>11</v>
      </c>
      <c r="E82" s="105">
        <f>10.5-1</f>
        <v>9.5</v>
      </c>
      <c r="F82" s="101"/>
      <c r="G82" s="105"/>
      <c r="H82" s="507"/>
      <c r="I82" s="105" t="s">
        <v>34</v>
      </c>
      <c r="J82" s="525"/>
      <c r="K82" s="525"/>
      <c r="L82" s="525"/>
      <c r="M82" s="525"/>
      <c r="N82" s="525"/>
    </row>
    <row r="83" spans="1:14" s="3" customFormat="1" ht="18" customHeight="1">
      <c r="A83" s="611" t="s">
        <v>34</v>
      </c>
      <c r="B83" s="611" t="s">
        <v>102</v>
      </c>
      <c r="C83" s="814" t="s">
        <v>848</v>
      </c>
      <c r="D83" s="814"/>
      <c r="E83" s="814"/>
      <c r="F83" s="814"/>
      <c r="G83" s="814"/>
      <c r="H83" s="814"/>
      <c r="I83" s="814"/>
      <c r="J83" s="525"/>
      <c r="K83" s="525"/>
      <c r="L83" s="525"/>
      <c r="M83" s="525"/>
      <c r="N83" s="525"/>
    </row>
    <row r="84" spans="1:14" s="3" customFormat="1" ht="38.25" customHeight="1" hidden="1">
      <c r="A84" s="613">
        <v>22</v>
      </c>
      <c r="B84" s="608" t="s">
        <v>610</v>
      </c>
      <c r="C84" s="136" t="s">
        <v>655</v>
      </c>
      <c r="D84" s="109" t="s">
        <v>11</v>
      </c>
      <c r="E84" s="110" t="s">
        <v>34</v>
      </c>
      <c r="F84" s="110"/>
      <c r="G84" s="110"/>
      <c r="H84" s="507"/>
      <c r="I84" s="110">
        <f>E85</f>
        <v>244</v>
      </c>
      <c r="J84" s="525"/>
      <c r="K84" s="525"/>
      <c r="L84" s="525"/>
      <c r="M84" s="525"/>
      <c r="N84" s="525"/>
    </row>
    <row r="85" spans="1:14" s="3" customFormat="1" ht="69.75" customHeight="1" hidden="1">
      <c r="A85" s="613"/>
      <c r="B85" s="623"/>
      <c r="C85" s="137" t="s">
        <v>656</v>
      </c>
      <c r="D85" s="104" t="s">
        <v>11</v>
      </c>
      <c r="E85" s="105">
        <f>46+31+45+38+41+43</f>
        <v>244</v>
      </c>
      <c r="F85" s="101"/>
      <c r="G85" s="105"/>
      <c r="H85" s="507"/>
      <c r="I85" s="105" t="s">
        <v>34</v>
      </c>
      <c r="J85" s="525"/>
      <c r="K85" s="525">
        <f>38+41+43</f>
        <v>122</v>
      </c>
      <c r="L85" s="525"/>
      <c r="M85" s="525"/>
      <c r="N85" s="525"/>
    </row>
    <row r="86" spans="1:14" s="3" customFormat="1" ht="17.25" customHeight="1" hidden="1">
      <c r="A86" s="607" t="s">
        <v>611</v>
      </c>
      <c r="B86" s="607" t="str">
        <f>B84</f>
        <v>03.02.01.28</v>
      </c>
      <c r="C86" s="90" t="s">
        <v>175</v>
      </c>
      <c r="D86" s="91" t="s">
        <v>34</v>
      </c>
      <c r="E86" s="92" t="s">
        <v>34</v>
      </c>
      <c r="F86" s="100"/>
      <c r="G86" s="92"/>
      <c r="H86" s="505"/>
      <c r="I86" s="92" t="s">
        <v>34</v>
      </c>
      <c r="J86" s="525"/>
      <c r="K86" s="525"/>
      <c r="L86" s="525"/>
      <c r="M86" s="525"/>
      <c r="N86" s="525"/>
    </row>
    <row r="87" spans="1:14" s="3" customFormat="1" ht="26.25" customHeight="1" hidden="1">
      <c r="A87" s="615"/>
      <c r="B87" s="630"/>
      <c r="C87" s="199" t="s">
        <v>259</v>
      </c>
      <c r="D87" s="197" t="s">
        <v>300</v>
      </c>
      <c r="E87" s="198">
        <f>0.18*1</f>
        <v>0.18</v>
      </c>
      <c r="F87" s="644"/>
      <c r="G87" s="198"/>
      <c r="H87" s="648"/>
      <c r="I87" s="198">
        <f>E87</f>
        <v>0.18</v>
      </c>
      <c r="J87" s="729"/>
      <c r="K87" s="525"/>
      <c r="L87" s="525"/>
      <c r="M87" s="525"/>
      <c r="N87" s="525"/>
    </row>
    <row r="88" spans="1:14" s="3" customFormat="1" ht="30.75" customHeight="1" hidden="1">
      <c r="A88" s="615"/>
      <c r="B88" s="630"/>
      <c r="C88" s="196" t="s">
        <v>178</v>
      </c>
      <c r="D88" s="197" t="s">
        <v>300</v>
      </c>
      <c r="E88" s="198">
        <f>1*(1.5*0.85-3.14*0.325*0.325)</f>
        <v>0.94</v>
      </c>
      <c r="F88" s="644"/>
      <c r="G88" s="198"/>
      <c r="H88" s="648"/>
      <c r="I88" s="198">
        <f>E88</f>
        <v>0.94</v>
      </c>
      <c r="J88" s="729"/>
      <c r="K88" s="525"/>
      <c r="L88" s="525"/>
      <c r="M88" s="525"/>
      <c r="N88" s="525"/>
    </row>
    <row r="89" spans="1:14" s="3" customFormat="1" ht="18" customHeight="1" hidden="1">
      <c r="A89" s="607"/>
      <c r="B89" s="607"/>
      <c r="C89" s="201" t="s">
        <v>657</v>
      </c>
      <c r="D89" s="202" t="s">
        <v>11</v>
      </c>
      <c r="E89" s="203">
        <v>1</v>
      </c>
      <c r="F89" s="645"/>
      <c r="G89" s="203"/>
      <c r="H89" s="649"/>
      <c r="I89" s="203">
        <v>1</v>
      </c>
      <c r="J89" s="729"/>
      <c r="K89" s="525"/>
      <c r="L89" s="525"/>
      <c r="M89" s="525"/>
      <c r="N89" s="525"/>
    </row>
    <row r="90" spans="1:14" s="3" customFormat="1" ht="18" customHeight="1">
      <c r="A90" s="613" t="s">
        <v>995</v>
      </c>
      <c r="B90" s="608" t="s">
        <v>124</v>
      </c>
      <c r="C90" s="136" t="s">
        <v>176</v>
      </c>
      <c r="D90" s="109" t="s">
        <v>11</v>
      </c>
      <c r="E90" s="110" t="s">
        <v>34</v>
      </c>
      <c r="F90" s="341">
        <f aca="true" t="shared" si="1" ref="F90:F96">I90</f>
        <v>35.5</v>
      </c>
      <c r="G90" s="110"/>
      <c r="H90" s="505"/>
      <c r="I90" s="110">
        <f>E91</f>
        <v>35.5</v>
      </c>
      <c r="J90" s="525"/>
      <c r="K90" s="525"/>
      <c r="L90" s="525"/>
      <c r="M90" s="525"/>
      <c r="N90" s="525"/>
    </row>
    <row r="91" spans="1:14" s="3" customFormat="1" ht="106.5" customHeight="1" hidden="1">
      <c r="A91" s="613"/>
      <c r="B91" s="623"/>
      <c r="C91" s="137" t="s">
        <v>854</v>
      </c>
      <c r="D91" s="104" t="s">
        <v>11</v>
      </c>
      <c r="E91" s="105">
        <v>35.5</v>
      </c>
      <c r="F91" s="341" t="str">
        <f t="shared" si="1"/>
        <v>x</v>
      </c>
      <c r="G91" s="105"/>
      <c r="H91" s="505"/>
      <c r="I91" s="105" t="s">
        <v>34</v>
      </c>
      <c r="J91" s="525"/>
      <c r="K91" s="525"/>
      <c r="L91" s="525"/>
      <c r="M91" s="525"/>
      <c r="N91" s="525"/>
    </row>
    <row r="92" spans="1:14" s="3" customFormat="1" ht="27.75" customHeight="1" hidden="1">
      <c r="A92" s="613">
        <v>23</v>
      </c>
      <c r="B92" s="608" t="s">
        <v>613</v>
      </c>
      <c r="C92" s="136" t="s">
        <v>658</v>
      </c>
      <c r="D92" s="109" t="s">
        <v>12</v>
      </c>
      <c r="E92" s="110" t="s">
        <v>34</v>
      </c>
      <c r="F92" s="341">
        <f t="shared" si="1"/>
        <v>6</v>
      </c>
      <c r="G92" s="110"/>
      <c r="H92" s="505"/>
      <c r="I92" s="110">
        <f>E93</f>
        <v>6</v>
      </c>
      <c r="J92" s="525"/>
      <c r="K92" s="525"/>
      <c r="L92" s="525"/>
      <c r="M92" s="525"/>
      <c r="N92" s="525"/>
    </row>
    <row r="93" spans="1:14" s="3" customFormat="1" ht="78.75" customHeight="1" hidden="1">
      <c r="A93" s="613"/>
      <c r="B93" s="623"/>
      <c r="C93" s="137" t="s">
        <v>614</v>
      </c>
      <c r="D93" s="104" t="s">
        <v>12</v>
      </c>
      <c r="E93" s="105">
        <f>2+4</f>
        <v>6</v>
      </c>
      <c r="F93" s="341" t="str">
        <f t="shared" si="1"/>
        <v>x</v>
      </c>
      <c r="G93" s="105"/>
      <c r="H93" s="505"/>
      <c r="I93" s="105" t="s">
        <v>34</v>
      </c>
      <c r="J93" s="525"/>
      <c r="K93" s="525"/>
      <c r="L93" s="525"/>
      <c r="M93" s="525"/>
      <c r="N93" s="525"/>
    </row>
    <row r="94" spans="1:14" s="3" customFormat="1" ht="29.25" customHeight="1" hidden="1">
      <c r="A94" s="613">
        <v>24</v>
      </c>
      <c r="B94" s="608" t="s">
        <v>615</v>
      </c>
      <c r="C94" s="136" t="s">
        <v>659</v>
      </c>
      <c r="D94" s="109" t="s">
        <v>12</v>
      </c>
      <c r="E94" s="110" t="s">
        <v>34</v>
      </c>
      <c r="F94" s="341">
        <f t="shared" si="1"/>
        <v>1</v>
      </c>
      <c r="G94" s="110"/>
      <c r="H94" s="505"/>
      <c r="I94" s="110">
        <f>E95</f>
        <v>1</v>
      </c>
      <c r="J94" s="525"/>
      <c r="K94" s="525"/>
      <c r="L94" s="525"/>
      <c r="M94" s="525"/>
      <c r="N94" s="525"/>
    </row>
    <row r="95" spans="1:14" s="3" customFormat="1" ht="71.25" customHeight="1" hidden="1">
      <c r="A95" s="613"/>
      <c r="B95" s="623"/>
      <c r="C95" s="137" t="s">
        <v>616</v>
      </c>
      <c r="D95" s="104" t="s">
        <v>12</v>
      </c>
      <c r="E95" s="105">
        <v>1</v>
      </c>
      <c r="F95" s="341" t="str">
        <f t="shared" si="1"/>
        <v>x</v>
      </c>
      <c r="G95" s="105"/>
      <c r="H95" s="505"/>
      <c r="I95" s="105" t="s">
        <v>34</v>
      </c>
      <c r="J95" s="525"/>
      <c r="K95" s="525"/>
      <c r="L95" s="525"/>
      <c r="M95" s="525"/>
      <c r="N95" s="525"/>
    </row>
    <row r="96" spans="1:14" s="3" customFormat="1" ht="31.5" customHeight="1">
      <c r="A96" s="613" t="s">
        <v>996</v>
      </c>
      <c r="B96" s="623" t="s">
        <v>851</v>
      </c>
      <c r="C96" s="136" t="s">
        <v>852</v>
      </c>
      <c r="D96" s="109" t="s">
        <v>12</v>
      </c>
      <c r="E96" s="110" t="s">
        <v>34</v>
      </c>
      <c r="F96" s="341">
        <f t="shared" si="1"/>
        <v>4</v>
      </c>
      <c r="G96" s="110"/>
      <c r="H96" s="505"/>
      <c r="I96" s="110">
        <f>E97</f>
        <v>4</v>
      </c>
      <c r="J96" s="525"/>
      <c r="K96" s="525"/>
      <c r="L96" s="525"/>
      <c r="M96" s="525"/>
      <c r="N96" s="525"/>
    </row>
    <row r="97" spans="1:14" s="3" customFormat="1" ht="64.5" customHeight="1" hidden="1">
      <c r="A97" s="613"/>
      <c r="B97" s="623"/>
      <c r="C97" s="137" t="s">
        <v>853</v>
      </c>
      <c r="D97" s="104" t="s">
        <v>12</v>
      </c>
      <c r="E97" s="105">
        <v>4</v>
      </c>
      <c r="F97" s="101"/>
      <c r="G97" s="105"/>
      <c r="H97" s="507"/>
      <c r="I97" s="105" t="s">
        <v>34</v>
      </c>
      <c r="J97" s="525"/>
      <c r="K97" s="525"/>
      <c r="L97" s="525"/>
      <c r="M97" s="525"/>
      <c r="N97" s="525"/>
    </row>
    <row r="98" spans="1:14" s="3" customFormat="1" ht="45" customHeight="1" hidden="1">
      <c r="A98" s="608">
        <v>8</v>
      </c>
      <c r="B98" s="623" t="s">
        <v>788</v>
      </c>
      <c r="C98" s="99" t="s">
        <v>789</v>
      </c>
      <c r="D98" s="97" t="s">
        <v>9</v>
      </c>
      <c r="E98" s="101" t="s">
        <v>34</v>
      </c>
      <c r="F98" s="101"/>
      <c r="G98" s="101"/>
      <c r="H98" s="507"/>
      <c r="I98" s="101">
        <v>2</v>
      </c>
      <c r="J98" s="525"/>
      <c r="K98" s="525"/>
      <c r="L98" s="525"/>
      <c r="M98" s="525"/>
      <c r="N98" s="525"/>
    </row>
    <row r="99" spans="1:14" s="3" customFormat="1" ht="81" customHeight="1" hidden="1">
      <c r="A99" s="607"/>
      <c r="B99" s="607"/>
      <c r="C99" s="90" t="s">
        <v>797</v>
      </c>
      <c r="D99" s="91" t="s">
        <v>9</v>
      </c>
      <c r="E99" s="92">
        <v>2</v>
      </c>
      <c r="F99" s="100"/>
      <c r="G99" s="92"/>
      <c r="H99" s="505"/>
      <c r="I99" s="92" t="s">
        <v>34</v>
      </c>
      <c r="J99" s="525"/>
      <c r="K99" s="525"/>
      <c r="L99" s="525"/>
      <c r="M99" s="525"/>
      <c r="N99" s="525"/>
    </row>
    <row r="100" spans="1:14" s="3" customFormat="1" ht="15">
      <c r="A100" s="844" t="s">
        <v>806</v>
      </c>
      <c r="B100" s="844"/>
      <c r="C100" s="844"/>
      <c r="D100" s="844"/>
      <c r="E100" s="844"/>
      <c r="F100" s="844"/>
      <c r="G100" s="844"/>
      <c r="H100" s="529"/>
      <c r="I100" s="92"/>
      <c r="J100" s="525"/>
      <c r="K100" s="722">
        <f>H100</f>
        <v>0</v>
      </c>
      <c r="L100" s="525"/>
      <c r="M100" s="525"/>
      <c r="N100" s="525"/>
    </row>
    <row r="101" spans="1:14" s="3" customFormat="1" ht="27" customHeight="1">
      <c r="A101" s="610" t="s">
        <v>53</v>
      </c>
      <c r="B101" s="610" t="s">
        <v>61</v>
      </c>
      <c r="C101" s="848" t="s">
        <v>204</v>
      </c>
      <c r="D101" s="848"/>
      <c r="E101" s="848"/>
      <c r="F101" s="848"/>
      <c r="G101" s="848"/>
      <c r="H101" s="848"/>
      <c r="I101" s="848"/>
      <c r="J101" s="525"/>
      <c r="K101" s="525"/>
      <c r="L101" s="525"/>
      <c r="M101" s="525"/>
      <c r="N101" s="525"/>
    </row>
    <row r="102" spans="1:9" s="1" customFormat="1" ht="18" customHeight="1">
      <c r="A102" s="616" t="s">
        <v>34</v>
      </c>
      <c r="B102" s="616" t="s">
        <v>107</v>
      </c>
      <c r="C102" s="875" t="s">
        <v>108</v>
      </c>
      <c r="D102" s="875"/>
      <c r="E102" s="875"/>
      <c r="F102" s="875"/>
      <c r="G102" s="875"/>
      <c r="H102" s="875"/>
      <c r="I102" s="875"/>
    </row>
    <row r="103" spans="1:9" s="1" customFormat="1" ht="27.75" customHeight="1">
      <c r="A103" s="617" t="s">
        <v>997</v>
      </c>
      <c r="B103" s="617" t="s">
        <v>261</v>
      </c>
      <c r="C103" s="569" t="s">
        <v>871</v>
      </c>
      <c r="D103" s="568" t="s">
        <v>872</v>
      </c>
      <c r="E103" s="570" t="s">
        <v>34</v>
      </c>
      <c r="F103" s="341">
        <f>I103</f>
        <v>20.5</v>
      </c>
      <c r="G103" s="570"/>
      <c r="H103" s="505"/>
      <c r="I103" s="570">
        <f>E104</f>
        <v>20.5</v>
      </c>
    </row>
    <row r="104" spans="1:9" s="1" customFormat="1" ht="36.75" customHeight="1" hidden="1">
      <c r="A104" s="617"/>
      <c r="B104" s="617"/>
      <c r="C104" s="571" t="s">
        <v>887</v>
      </c>
      <c r="D104" s="572" t="s">
        <v>873</v>
      </c>
      <c r="E104" s="573">
        <v>20.5</v>
      </c>
      <c r="F104" s="570"/>
      <c r="G104" s="573"/>
      <c r="H104" s="650"/>
      <c r="I104" s="573" t="s">
        <v>34</v>
      </c>
    </row>
    <row r="105" spans="1:9" s="1" customFormat="1" ht="18.75" customHeight="1">
      <c r="A105" s="611" t="s">
        <v>34</v>
      </c>
      <c r="B105" s="611" t="s">
        <v>125</v>
      </c>
      <c r="C105" s="814" t="s">
        <v>126</v>
      </c>
      <c r="D105" s="814"/>
      <c r="E105" s="814"/>
      <c r="F105" s="814"/>
      <c r="G105" s="814"/>
      <c r="H105" s="814"/>
      <c r="I105" s="814"/>
    </row>
    <row r="106" spans="1:9" s="1" customFormat="1" ht="21" customHeight="1">
      <c r="A106" s="615" t="s">
        <v>998</v>
      </c>
      <c r="B106" s="615" t="s">
        <v>179</v>
      </c>
      <c r="C106" s="139" t="s">
        <v>720</v>
      </c>
      <c r="D106" s="109" t="s">
        <v>199</v>
      </c>
      <c r="E106" s="110" t="s">
        <v>34</v>
      </c>
      <c r="F106" s="341">
        <f>I106</f>
        <v>20.5</v>
      </c>
      <c r="G106" s="110"/>
      <c r="H106" s="505"/>
      <c r="I106" s="110">
        <f>E107</f>
        <v>20.5</v>
      </c>
    </row>
    <row r="107" spans="1:9" s="1" customFormat="1" ht="45" customHeight="1" hidden="1">
      <c r="A107" s="615"/>
      <c r="B107" s="615"/>
      <c r="C107" s="138" t="s">
        <v>886</v>
      </c>
      <c r="D107" s="111" t="s">
        <v>200</v>
      </c>
      <c r="E107" s="107">
        <v>20.5</v>
      </c>
      <c r="F107" s="110"/>
      <c r="G107" s="107"/>
      <c r="H107" s="507"/>
      <c r="I107" s="107" t="s">
        <v>34</v>
      </c>
    </row>
    <row r="108" spans="1:9" s="1" customFormat="1" ht="19.5" customHeight="1" hidden="1">
      <c r="A108" s="611" t="s">
        <v>34</v>
      </c>
      <c r="B108" s="611" t="s">
        <v>17</v>
      </c>
      <c r="C108" s="814" t="s">
        <v>18</v>
      </c>
      <c r="D108" s="814"/>
      <c r="E108" s="814"/>
      <c r="F108" s="814"/>
      <c r="G108" s="814"/>
      <c r="H108" s="814"/>
      <c r="I108" s="814"/>
    </row>
    <row r="109" spans="1:9" s="1" customFormat="1" ht="19.5" customHeight="1" hidden="1">
      <c r="A109" s="615">
        <v>28</v>
      </c>
      <c r="B109" s="631" t="s">
        <v>622</v>
      </c>
      <c r="C109" s="139" t="s">
        <v>621</v>
      </c>
      <c r="D109" s="109" t="s">
        <v>199</v>
      </c>
      <c r="E109" s="110" t="s">
        <v>34</v>
      </c>
      <c r="F109" s="110"/>
      <c r="G109" s="110"/>
      <c r="H109" s="507"/>
      <c r="I109" s="110">
        <f>E110</f>
        <v>424.62</v>
      </c>
    </row>
    <row r="110" spans="1:14" s="1" customFormat="1" ht="89.25" customHeight="1" hidden="1">
      <c r="A110" s="614"/>
      <c r="B110" s="632"/>
      <c r="C110" s="138" t="s">
        <v>623</v>
      </c>
      <c r="D110" s="111" t="s">
        <v>200</v>
      </c>
      <c r="E110" s="107">
        <f>114+89.2+135.91+85.51</f>
        <v>424.62</v>
      </c>
      <c r="F110" s="110"/>
      <c r="G110" s="107"/>
      <c r="H110" s="507"/>
      <c r="I110" s="107" t="s">
        <v>34</v>
      </c>
      <c r="K110" s="1">
        <f>114</f>
        <v>114</v>
      </c>
      <c r="L110" s="1">
        <f>98.2</f>
        <v>98.2</v>
      </c>
      <c r="M110" s="1">
        <v>135.91</v>
      </c>
      <c r="N110" s="1">
        <v>85.51</v>
      </c>
    </row>
    <row r="111" spans="1:9" s="8" customFormat="1" ht="18.75" customHeight="1" hidden="1">
      <c r="A111" s="615">
        <v>29</v>
      </c>
      <c r="B111" s="631" t="s">
        <v>183</v>
      </c>
      <c r="C111" s="563" t="s">
        <v>624</v>
      </c>
      <c r="D111" s="396" t="s">
        <v>560</v>
      </c>
      <c r="E111" s="211" t="s">
        <v>34</v>
      </c>
      <c r="F111" s="211"/>
      <c r="G111" s="211"/>
      <c r="H111" s="511"/>
      <c r="I111" s="211">
        <f>E112</f>
        <v>203.2</v>
      </c>
    </row>
    <row r="112" spans="1:9" s="11" customFormat="1" ht="43.5" customHeight="1" hidden="1">
      <c r="A112" s="614"/>
      <c r="B112" s="632"/>
      <c r="C112" s="455" t="s">
        <v>625</v>
      </c>
      <c r="D112" s="456" t="s">
        <v>564</v>
      </c>
      <c r="E112" s="457">
        <f>203.2</f>
        <v>203.2</v>
      </c>
      <c r="F112" s="211"/>
      <c r="G112" s="457"/>
      <c r="H112" s="511"/>
      <c r="I112" s="457" t="s">
        <v>34</v>
      </c>
    </row>
    <row r="113" spans="1:9" s="11" customFormat="1" ht="18.75" customHeight="1" hidden="1">
      <c r="A113" s="615">
        <v>30</v>
      </c>
      <c r="B113" s="615" t="s">
        <v>184</v>
      </c>
      <c r="C113" s="563" t="s">
        <v>185</v>
      </c>
      <c r="D113" s="396" t="s">
        <v>560</v>
      </c>
      <c r="E113" s="211" t="s">
        <v>34</v>
      </c>
      <c r="F113" s="211"/>
      <c r="G113" s="211"/>
      <c r="H113" s="511"/>
      <c r="I113" s="211">
        <f>E114</f>
        <v>424.62</v>
      </c>
    </row>
    <row r="114" spans="1:9" s="11" customFormat="1" ht="94.5" customHeight="1" hidden="1">
      <c r="A114" s="615"/>
      <c r="B114" s="632"/>
      <c r="C114" s="582" t="s">
        <v>626</v>
      </c>
      <c r="D114" s="456" t="s">
        <v>564</v>
      </c>
      <c r="E114" s="457">
        <f>E110</f>
        <v>424.62</v>
      </c>
      <c r="F114" s="211"/>
      <c r="G114" s="457"/>
      <c r="H114" s="511"/>
      <c r="I114" s="211" t="s">
        <v>34</v>
      </c>
    </row>
    <row r="115" spans="1:9" s="8" customFormat="1" ht="17.25" customHeight="1" hidden="1">
      <c r="A115" s="615">
        <v>31</v>
      </c>
      <c r="B115" s="615" t="s">
        <v>78</v>
      </c>
      <c r="C115" s="563" t="s">
        <v>77</v>
      </c>
      <c r="D115" s="396" t="s">
        <v>560</v>
      </c>
      <c r="E115" s="211" t="s">
        <v>34</v>
      </c>
      <c r="F115" s="211"/>
      <c r="G115" s="211"/>
      <c r="H115" s="511"/>
      <c r="I115" s="211">
        <f>E116</f>
        <v>203.2</v>
      </c>
    </row>
    <row r="116" spans="1:9" s="8" customFormat="1" ht="42" customHeight="1" hidden="1">
      <c r="A116" s="615"/>
      <c r="B116" s="632"/>
      <c r="C116" s="455" t="s">
        <v>627</v>
      </c>
      <c r="D116" s="456" t="s">
        <v>564</v>
      </c>
      <c r="E116" s="457">
        <f>E112</f>
        <v>203.2</v>
      </c>
      <c r="F116" s="211"/>
      <c r="G116" s="457"/>
      <c r="H116" s="511"/>
      <c r="I116" s="211" t="s">
        <v>34</v>
      </c>
    </row>
    <row r="117" spans="1:9" s="8" customFormat="1" ht="18" customHeight="1">
      <c r="A117" s="611" t="s">
        <v>34</v>
      </c>
      <c r="B117" s="611" t="s">
        <v>19</v>
      </c>
      <c r="C117" s="814" t="s">
        <v>20</v>
      </c>
      <c r="D117" s="814"/>
      <c r="E117" s="814"/>
      <c r="F117" s="814"/>
      <c r="G117" s="814"/>
      <c r="H117" s="814"/>
      <c r="I117" s="814"/>
    </row>
    <row r="118" spans="1:9" s="8" customFormat="1" ht="30" customHeight="1">
      <c r="A118" s="615" t="s">
        <v>999</v>
      </c>
      <c r="B118" s="631" t="s">
        <v>633</v>
      </c>
      <c r="C118" s="142" t="s">
        <v>634</v>
      </c>
      <c r="D118" s="109" t="s">
        <v>199</v>
      </c>
      <c r="E118" s="110" t="s">
        <v>34</v>
      </c>
      <c r="F118" s="341">
        <f>I118</f>
        <v>146.5</v>
      </c>
      <c r="G118" s="110"/>
      <c r="H118" s="505"/>
      <c r="I118" s="110">
        <f>SUM(E119:E119)</f>
        <v>146.5</v>
      </c>
    </row>
    <row r="119" spans="1:9" s="8" customFormat="1" ht="51.75" customHeight="1" hidden="1">
      <c r="A119" s="615"/>
      <c r="B119" s="632"/>
      <c r="C119" s="138" t="s">
        <v>870</v>
      </c>
      <c r="D119" s="111" t="s">
        <v>200</v>
      </c>
      <c r="E119" s="107">
        <v>146.5</v>
      </c>
      <c r="F119" s="110"/>
      <c r="G119" s="107"/>
      <c r="H119" s="507"/>
      <c r="I119" s="110" t="s">
        <v>34</v>
      </c>
    </row>
    <row r="120" spans="1:9" s="8" customFormat="1" ht="29.25" customHeight="1" hidden="1">
      <c r="A120" s="615">
        <v>33</v>
      </c>
      <c r="B120" s="631" t="s">
        <v>628</v>
      </c>
      <c r="C120" s="142" t="s">
        <v>629</v>
      </c>
      <c r="D120" s="109" t="s">
        <v>199</v>
      </c>
      <c r="E120" s="110" t="s">
        <v>34</v>
      </c>
      <c r="F120" s="110"/>
      <c r="G120" s="110"/>
      <c r="H120" s="507"/>
      <c r="I120" s="110">
        <f>SUM(E121:E121)</f>
        <v>203.2</v>
      </c>
    </row>
    <row r="121" spans="1:9" s="8" customFormat="1" ht="47.25" customHeight="1" hidden="1">
      <c r="A121" s="615"/>
      <c r="B121" s="632"/>
      <c r="C121" s="138" t="s">
        <v>630</v>
      </c>
      <c r="D121" s="111" t="s">
        <v>200</v>
      </c>
      <c r="E121" s="107">
        <f>114+89.2</f>
        <v>203.2</v>
      </c>
      <c r="F121" s="110"/>
      <c r="G121" s="107"/>
      <c r="H121" s="507"/>
      <c r="I121" s="110" t="s">
        <v>34</v>
      </c>
    </row>
    <row r="122" spans="1:9" s="8" customFormat="1" ht="21" customHeight="1">
      <c r="A122" s="611" t="s">
        <v>34</v>
      </c>
      <c r="B122" s="611" t="s">
        <v>188</v>
      </c>
      <c r="C122" s="814" t="s">
        <v>631</v>
      </c>
      <c r="D122" s="814"/>
      <c r="E122" s="814"/>
      <c r="F122" s="814"/>
      <c r="G122" s="814"/>
      <c r="H122" s="814"/>
      <c r="I122" s="814"/>
    </row>
    <row r="123" spans="1:9" s="8" customFormat="1" ht="30.75" customHeight="1">
      <c r="A123" s="615" t="s">
        <v>1000</v>
      </c>
      <c r="B123" s="631" t="s">
        <v>267</v>
      </c>
      <c r="C123" s="142" t="s">
        <v>632</v>
      </c>
      <c r="D123" s="109" t="s">
        <v>199</v>
      </c>
      <c r="E123" s="110" t="s">
        <v>34</v>
      </c>
      <c r="F123" s="341">
        <f>I123</f>
        <v>45</v>
      </c>
      <c r="G123" s="110"/>
      <c r="H123" s="505"/>
      <c r="I123" s="110">
        <f>SUM(E124:E124)</f>
        <v>45</v>
      </c>
    </row>
    <row r="124" spans="1:9" s="8" customFormat="1" ht="69" customHeight="1" hidden="1">
      <c r="A124" s="615"/>
      <c r="B124" s="632"/>
      <c r="C124" s="138" t="s">
        <v>891</v>
      </c>
      <c r="D124" s="111" t="s">
        <v>200</v>
      </c>
      <c r="E124" s="107">
        <f>25+20</f>
        <v>45</v>
      </c>
      <c r="F124" s="110"/>
      <c r="G124" s="107"/>
      <c r="H124" s="507"/>
      <c r="I124" s="110" t="s">
        <v>34</v>
      </c>
    </row>
    <row r="125" spans="1:9" s="8" customFormat="1" ht="29.25" customHeight="1" hidden="1">
      <c r="A125" s="618">
        <v>35</v>
      </c>
      <c r="B125" s="633" t="s">
        <v>635</v>
      </c>
      <c r="C125" s="453" t="s">
        <v>636</v>
      </c>
      <c r="D125" s="396" t="s">
        <v>560</v>
      </c>
      <c r="E125" s="211" t="s">
        <v>34</v>
      </c>
      <c r="F125" s="211"/>
      <c r="G125" s="211"/>
      <c r="H125" s="511"/>
      <c r="I125" s="211">
        <f>SUM(E126:E126)</f>
        <v>489.64</v>
      </c>
    </row>
    <row r="126" spans="1:11" s="8" customFormat="1" ht="80.25" customHeight="1" hidden="1">
      <c r="A126" s="618"/>
      <c r="B126" s="634"/>
      <c r="C126" s="455" t="s">
        <v>637</v>
      </c>
      <c r="D126" s="456" t="s">
        <v>564</v>
      </c>
      <c r="E126" s="457">
        <f>135.91+85.51+(114+89.2)*1.32</f>
        <v>489.64</v>
      </c>
      <c r="F126" s="211"/>
      <c r="G126" s="457"/>
      <c r="H126" s="511"/>
      <c r="I126" s="211" t="s">
        <v>34</v>
      </c>
      <c r="J126" s="8">
        <f>135.91+85.51</f>
        <v>221.42</v>
      </c>
      <c r="K126" s="8">
        <f>(114+89.2)*1.32</f>
        <v>268.224</v>
      </c>
    </row>
    <row r="127" spans="1:11" s="8" customFormat="1" ht="15">
      <c r="A127" s="844" t="s">
        <v>808</v>
      </c>
      <c r="B127" s="844"/>
      <c r="C127" s="844"/>
      <c r="D127" s="844"/>
      <c r="E127" s="844"/>
      <c r="F127" s="844"/>
      <c r="G127" s="844"/>
      <c r="H127" s="529"/>
      <c r="I127" s="211"/>
      <c r="K127" s="655">
        <f>H127</f>
        <v>0</v>
      </c>
    </row>
    <row r="128" spans="1:9" s="8" customFormat="1" ht="27.75" customHeight="1">
      <c r="A128" s="610" t="s">
        <v>65</v>
      </c>
      <c r="B128" s="610" t="s">
        <v>63</v>
      </c>
      <c r="C128" s="848" t="s">
        <v>205</v>
      </c>
      <c r="D128" s="848"/>
      <c r="E128" s="848"/>
      <c r="F128" s="848"/>
      <c r="G128" s="848"/>
      <c r="H128" s="848"/>
      <c r="I128" s="848"/>
    </row>
    <row r="129" spans="1:9" s="8" customFormat="1" ht="18" customHeight="1" hidden="1">
      <c r="A129" s="611" t="s">
        <v>34</v>
      </c>
      <c r="B129" s="611" t="s">
        <v>128</v>
      </c>
      <c r="C129" s="814" t="s">
        <v>142</v>
      </c>
      <c r="D129" s="814" t="s">
        <v>8</v>
      </c>
      <c r="E129" s="814"/>
      <c r="F129" s="814"/>
      <c r="G129" s="814"/>
      <c r="H129" s="814"/>
      <c r="I129" s="814"/>
    </row>
    <row r="130" spans="1:9" s="8" customFormat="1" ht="20.25" customHeight="1" hidden="1">
      <c r="A130" s="615">
        <v>36</v>
      </c>
      <c r="B130" s="615" t="s">
        <v>272</v>
      </c>
      <c r="C130" s="139" t="s">
        <v>271</v>
      </c>
      <c r="D130" s="109" t="s">
        <v>199</v>
      </c>
      <c r="E130" s="110" t="s">
        <v>34</v>
      </c>
      <c r="F130" s="110"/>
      <c r="G130" s="110"/>
      <c r="H130" s="507"/>
      <c r="I130" s="100">
        <f>SUM(E131:E131)</f>
        <v>42.07</v>
      </c>
    </row>
    <row r="131" spans="1:9" s="8" customFormat="1" ht="81" customHeight="1" hidden="1">
      <c r="A131" s="614"/>
      <c r="B131" s="632"/>
      <c r="C131" s="138" t="s">
        <v>722</v>
      </c>
      <c r="D131" s="111" t="s">
        <v>200</v>
      </c>
      <c r="E131" s="107">
        <v>42.07</v>
      </c>
      <c r="F131" s="110"/>
      <c r="G131" s="107"/>
      <c r="H131" s="507"/>
      <c r="I131" s="107" t="s">
        <v>34</v>
      </c>
    </row>
    <row r="132" spans="1:101" s="20" customFormat="1" ht="18.75" customHeight="1">
      <c r="A132" s="611" t="s">
        <v>34</v>
      </c>
      <c r="B132" s="611" t="s">
        <v>21</v>
      </c>
      <c r="C132" s="814" t="s">
        <v>22</v>
      </c>
      <c r="D132" s="814" t="s">
        <v>8</v>
      </c>
      <c r="E132" s="814"/>
      <c r="F132" s="814"/>
      <c r="G132" s="814"/>
      <c r="H132" s="814"/>
      <c r="I132" s="814"/>
      <c r="J132" s="723"/>
      <c r="K132" s="723"/>
      <c r="L132" s="723"/>
      <c r="M132" s="723"/>
      <c r="N132" s="723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  <c r="BE132" s="79"/>
      <c r="BF132" s="79"/>
      <c r="BG132" s="79"/>
      <c r="BH132" s="79"/>
      <c r="BI132" s="79"/>
      <c r="BJ132" s="79"/>
      <c r="BK132" s="79"/>
      <c r="BL132" s="79"/>
      <c r="BM132" s="79"/>
      <c r="BN132" s="79"/>
      <c r="BO132" s="79"/>
      <c r="BP132" s="79"/>
      <c r="BQ132" s="79"/>
      <c r="BR132" s="79"/>
      <c r="BS132" s="79"/>
      <c r="BT132" s="79"/>
      <c r="BU132" s="79"/>
      <c r="BV132" s="79"/>
      <c r="BW132" s="79"/>
      <c r="BX132" s="79"/>
      <c r="BY132" s="79"/>
      <c r="BZ132" s="79"/>
      <c r="CA132" s="79"/>
      <c r="CB132" s="79"/>
      <c r="CC132" s="79"/>
      <c r="CD132" s="79"/>
      <c r="CE132" s="79"/>
      <c r="CF132" s="79"/>
      <c r="CG132" s="79"/>
      <c r="CH132" s="79"/>
      <c r="CI132" s="79"/>
      <c r="CJ132" s="79"/>
      <c r="CK132" s="79"/>
      <c r="CL132" s="79"/>
      <c r="CM132" s="79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</row>
    <row r="133" spans="1:101" s="20" customFormat="1" ht="20.25" customHeight="1" hidden="1">
      <c r="A133" s="615">
        <v>36</v>
      </c>
      <c r="B133" s="631" t="s">
        <v>286</v>
      </c>
      <c r="C133" s="139" t="s">
        <v>638</v>
      </c>
      <c r="D133" s="109" t="s">
        <v>199</v>
      </c>
      <c r="E133" s="110" t="s">
        <v>34</v>
      </c>
      <c r="F133" s="110"/>
      <c r="G133" s="110"/>
      <c r="H133" s="507"/>
      <c r="I133" s="100">
        <f>SUM(E134:E134)</f>
        <v>203.2</v>
      </c>
      <c r="J133" s="723"/>
      <c r="K133" s="723"/>
      <c r="L133" s="723"/>
      <c r="M133" s="723"/>
      <c r="N133" s="723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  <c r="BY133" s="79"/>
      <c r="BZ133" s="79"/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</row>
    <row r="134" spans="1:101" s="20" customFormat="1" ht="51" customHeight="1" hidden="1">
      <c r="A134" s="614"/>
      <c r="B134" s="632"/>
      <c r="C134" s="138" t="s">
        <v>639</v>
      </c>
      <c r="D134" s="111" t="s">
        <v>200</v>
      </c>
      <c r="E134" s="107">
        <f>114+89.2</f>
        <v>203.2</v>
      </c>
      <c r="F134" s="110"/>
      <c r="G134" s="107"/>
      <c r="H134" s="507"/>
      <c r="I134" s="107" t="s">
        <v>34</v>
      </c>
      <c r="J134" s="723"/>
      <c r="K134" s="723"/>
      <c r="L134" s="723"/>
      <c r="M134" s="723"/>
      <c r="N134" s="723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/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9"/>
      <c r="CQ134" s="79"/>
      <c r="CR134" s="79"/>
      <c r="CS134" s="79"/>
      <c r="CT134" s="79"/>
      <c r="CU134" s="79"/>
      <c r="CV134" s="79"/>
      <c r="CW134" s="79"/>
    </row>
    <row r="135" spans="1:101" s="276" customFormat="1" ht="30.75" customHeight="1" hidden="1">
      <c r="A135" s="615">
        <v>13</v>
      </c>
      <c r="B135" s="631" t="s">
        <v>286</v>
      </c>
      <c r="C135" s="139" t="s">
        <v>719</v>
      </c>
      <c r="D135" s="109" t="s">
        <v>199</v>
      </c>
      <c r="E135" s="211" t="s">
        <v>34</v>
      </c>
      <c r="F135" s="211"/>
      <c r="G135" s="211"/>
      <c r="H135" s="511"/>
      <c r="I135" s="564">
        <f>SUM(E136:E136)</f>
        <v>30</v>
      </c>
      <c r="J135" s="724"/>
      <c r="K135" s="724"/>
      <c r="L135" s="724"/>
      <c r="M135" s="724"/>
      <c r="N135" s="724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0"/>
      <c r="CQ135" s="80"/>
      <c r="CR135" s="80"/>
      <c r="CS135" s="80"/>
      <c r="CT135" s="80"/>
      <c r="CU135" s="80"/>
      <c r="CV135" s="80"/>
      <c r="CW135" s="80"/>
    </row>
    <row r="136" spans="1:101" s="276" customFormat="1" ht="55.5" customHeight="1" hidden="1">
      <c r="A136" s="614"/>
      <c r="B136" s="632"/>
      <c r="C136" s="138" t="s">
        <v>857</v>
      </c>
      <c r="D136" s="111" t="s">
        <v>200</v>
      </c>
      <c r="E136" s="457">
        <f>15+15</f>
        <v>30</v>
      </c>
      <c r="F136" s="211"/>
      <c r="G136" s="457"/>
      <c r="H136" s="511"/>
      <c r="I136" s="457" t="s">
        <v>34</v>
      </c>
      <c r="J136" s="724"/>
      <c r="K136" s="724"/>
      <c r="L136" s="724"/>
      <c r="M136" s="724"/>
      <c r="N136" s="724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</row>
    <row r="137" spans="1:101" s="276" customFormat="1" ht="30.75" customHeight="1">
      <c r="A137" s="615" t="s">
        <v>1001</v>
      </c>
      <c r="B137" s="615" t="s">
        <v>970</v>
      </c>
      <c r="C137" s="139" t="s">
        <v>275</v>
      </c>
      <c r="D137" s="109" t="s">
        <v>199</v>
      </c>
      <c r="E137" s="110" t="s">
        <v>34</v>
      </c>
      <c r="F137" s="341">
        <f>I137</f>
        <v>43.7</v>
      </c>
      <c r="G137" s="110"/>
      <c r="H137" s="505"/>
      <c r="I137" s="100">
        <f>SUM(E138:E138)</f>
        <v>43.7</v>
      </c>
      <c r="J137" s="724"/>
      <c r="K137" s="724"/>
      <c r="L137" s="724"/>
      <c r="M137" s="724"/>
      <c r="N137" s="724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</row>
    <row r="138" spans="1:101" s="276" customFormat="1" ht="57.75" customHeight="1" hidden="1">
      <c r="A138" s="614"/>
      <c r="B138" s="632"/>
      <c r="C138" s="138" t="s">
        <v>969</v>
      </c>
      <c r="D138" s="111" t="s">
        <v>200</v>
      </c>
      <c r="E138" s="107">
        <v>43.7</v>
      </c>
      <c r="F138" s="110"/>
      <c r="G138" s="107"/>
      <c r="H138" s="507"/>
      <c r="I138" s="107" t="s">
        <v>34</v>
      </c>
      <c r="J138" s="723"/>
      <c r="K138" s="724"/>
      <c r="L138" s="724"/>
      <c r="M138" s="724"/>
      <c r="N138" s="724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0"/>
      <c r="CW138" s="80"/>
    </row>
    <row r="139" spans="1:101" s="20" customFormat="1" ht="22.5" customHeight="1" hidden="1">
      <c r="A139" s="615">
        <v>38</v>
      </c>
      <c r="B139" s="615" t="s">
        <v>287</v>
      </c>
      <c r="C139" s="139" t="s">
        <v>276</v>
      </c>
      <c r="D139" s="109" t="s">
        <v>199</v>
      </c>
      <c r="E139" s="110" t="s">
        <v>34</v>
      </c>
      <c r="F139" s="110"/>
      <c r="G139" s="110"/>
      <c r="H139" s="507"/>
      <c r="I139" s="100">
        <f>SUM(E140:E140)</f>
        <v>197.75</v>
      </c>
      <c r="J139" s="723"/>
      <c r="K139" s="723"/>
      <c r="L139" s="723"/>
      <c r="M139" s="723"/>
      <c r="N139" s="723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79"/>
      <c r="CQ139" s="79"/>
      <c r="CR139" s="79"/>
      <c r="CS139" s="79"/>
      <c r="CT139" s="79"/>
      <c r="CU139" s="79"/>
      <c r="CV139" s="79"/>
      <c r="CW139" s="79"/>
    </row>
    <row r="140" spans="1:101" s="20" customFormat="1" ht="45" customHeight="1" hidden="1">
      <c r="A140" s="614"/>
      <c r="B140" s="632"/>
      <c r="C140" s="138" t="s">
        <v>641</v>
      </c>
      <c r="D140" s="111" t="s">
        <v>200</v>
      </c>
      <c r="E140" s="107">
        <f>121.4+76.35</f>
        <v>197.75</v>
      </c>
      <c r="F140" s="110"/>
      <c r="G140" s="107"/>
      <c r="H140" s="507"/>
      <c r="I140" s="107" t="s">
        <v>34</v>
      </c>
      <c r="J140" s="723"/>
      <c r="K140" s="723"/>
      <c r="L140" s="723"/>
      <c r="M140" s="723"/>
      <c r="N140" s="723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/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79"/>
      <c r="CQ140" s="79"/>
      <c r="CR140" s="79"/>
      <c r="CS140" s="79"/>
      <c r="CT140" s="79"/>
      <c r="CU140" s="79"/>
      <c r="CV140" s="79"/>
      <c r="CW140" s="79"/>
    </row>
    <row r="141" spans="1:101" s="20" customFormat="1" ht="17.25" customHeight="1" hidden="1">
      <c r="A141" s="619" t="s">
        <v>34</v>
      </c>
      <c r="B141" s="619" t="s">
        <v>455</v>
      </c>
      <c r="C141" s="851" t="s">
        <v>456</v>
      </c>
      <c r="D141" s="851" t="s">
        <v>8</v>
      </c>
      <c r="E141" s="851"/>
      <c r="F141" s="851"/>
      <c r="G141" s="851"/>
      <c r="H141" s="851"/>
      <c r="I141" s="851"/>
      <c r="J141" s="723"/>
      <c r="K141" s="723"/>
      <c r="L141" s="723"/>
      <c r="M141" s="723"/>
      <c r="N141" s="723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  <c r="BZ141" s="79"/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79"/>
      <c r="CQ141" s="79"/>
      <c r="CR141" s="79"/>
      <c r="CS141" s="79"/>
      <c r="CT141" s="79"/>
      <c r="CU141" s="79"/>
      <c r="CV141" s="79"/>
      <c r="CW141" s="79"/>
    </row>
    <row r="142" spans="1:101" s="20" customFormat="1" ht="33.75" customHeight="1" hidden="1">
      <c r="A142" s="618">
        <v>15</v>
      </c>
      <c r="B142" s="618" t="s">
        <v>457</v>
      </c>
      <c r="C142" s="563" t="s">
        <v>458</v>
      </c>
      <c r="D142" s="396" t="s">
        <v>560</v>
      </c>
      <c r="E142" s="211" t="s">
        <v>34</v>
      </c>
      <c r="F142" s="211"/>
      <c r="G142" s="211"/>
      <c r="H142" s="511"/>
      <c r="I142" s="211">
        <f>E143</f>
        <v>44</v>
      </c>
      <c r="J142" s="723"/>
      <c r="K142" s="723"/>
      <c r="L142" s="723"/>
      <c r="M142" s="723"/>
      <c r="N142" s="723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/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79"/>
      <c r="CQ142" s="79"/>
      <c r="CR142" s="79"/>
      <c r="CS142" s="79"/>
      <c r="CT142" s="79"/>
      <c r="CU142" s="79"/>
      <c r="CV142" s="79"/>
      <c r="CW142" s="79"/>
    </row>
    <row r="143" spans="1:101" s="20" customFormat="1" ht="46.5" customHeight="1" hidden="1">
      <c r="A143" s="620"/>
      <c r="B143" s="634"/>
      <c r="C143" s="455" t="s">
        <v>792</v>
      </c>
      <c r="D143" s="456" t="s">
        <v>564</v>
      </c>
      <c r="E143" s="457">
        <v>44</v>
      </c>
      <c r="F143" s="211"/>
      <c r="G143" s="457"/>
      <c r="H143" s="511"/>
      <c r="I143" s="457" t="s">
        <v>34</v>
      </c>
      <c r="J143" s="723"/>
      <c r="K143" s="723"/>
      <c r="L143" s="723"/>
      <c r="M143" s="723"/>
      <c r="N143" s="723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79"/>
      <c r="BX143" s="79"/>
      <c r="BY143" s="79"/>
      <c r="BZ143" s="79"/>
      <c r="CA143" s="79"/>
      <c r="CB143" s="79"/>
      <c r="CC143" s="79"/>
      <c r="CD143" s="79"/>
      <c r="CE143" s="79"/>
      <c r="CF143" s="79"/>
      <c r="CG143" s="79"/>
      <c r="CH143" s="79"/>
      <c r="CI143" s="79"/>
      <c r="CJ143" s="79"/>
      <c r="CK143" s="79"/>
      <c r="CL143" s="79"/>
      <c r="CM143" s="79"/>
      <c r="CN143" s="79"/>
      <c r="CO143" s="79"/>
      <c r="CP143" s="79"/>
      <c r="CQ143" s="79"/>
      <c r="CR143" s="79"/>
      <c r="CS143" s="79"/>
      <c r="CT143" s="79"/>
      <c r="CU143" s="79"/>
      <c r="CV143" s="79"/>
      <c r="CW143" s="79"/>
    </row>
    <row r="144" spans="1:101" s="20" customFormat="1" ht="15">
      <c r="A144" s="844" t="s">
        <v>809</v>
      </c>
      <c r="B144" s="844"/>
      <c r="C144" s="844"/>
      <c r="D144" s="844"/>
      <c r="E144" s="844"/>
      <c r="F144" s="844"/>
      <c r="G144" s="844"/>
      <c r="H144" s="529"/>
      <c r="I144" s="457"/>
      <c r="J144" s="723"/>
      <c r="K144" s="725">
        <f>H144</f>
        <v>0</v>
      </c>
      <c r="L144" s="723"/>
      <c r="M144" s="723"/>
      <c r="N144" s="723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9"/>
      <c r="BW144" s="79"/>
      <c r="BX144" s="79"/>
      <c r="BY144" s="79"/>
      <c r="BZ144" s="79"/>
      <c r="CA144" s="79"/>
      <c r="CB144" s="79"/>
      <c r="CC144" s="79"/>
      <c r="CD144" s="79"/>
      <c r="CE144" s="79"/>
      <c r="CF144" s="79"/>
      <c r="CG144" s="79"/>
      <c r="CH144" s="79"/>
      <c r="CI144" s="79"/>
      <c r="CJ144" s="79"/>
      <c r="CK144" s="79"/>
      <c r="CL144" s="79"/>
      <c r="CM144" s="79"/>
      <c r="CN144" s="79"/>
      <c r="CO144" s="79"/>
      <c r="CP144" s="79"/>
      <c r="CQ144" s="79"/>
      <c r="CR144" s="79"/>
      <c r="CS144" s="79"/>
      <c r="CT144" s="79"/>
      <c r="CU144" s="79"/>
      <c r="CV144" s="79"/>
      <c r="CW144" s="79"/>
    </row>
    <row r="145" spans="1:101" s="51" customFormat="1" ht="26.25">
      <c r="A145" s="610" t="s">
        <v>67</v>
      </c>
      <c r="B145" s="610" t="s">
        <v>64</v>
      </c>
      <c r="C145" s="848" t="s">
        <v>206</v>
      </c>
      <c r="D145" s="848" t="s">
        <v>8</v>
      </c>
      <c r="E145" s="848"/>
      <c r="F145" s="848"/>
      <c r="G145" s="848"/>
      <c r="H145" s="848"/>
      <c r="I145" s="848"/>
      <c r="J145" s="724"/>
      <c r="K145" s="724"/>
      <c r="L145" s="724"/>
      <c r="M145" s="724"/>
      <c r="N145" s="724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</row>
    <row r="146" spans="1:9" s="8" customFormat="1" ht="19.5" customHeight="1">
      <c r="A146" s="611" t="s">
        <v>34</v>
      </c>
      <c r="B146" s="611" t="s">
        <v>23</v>
      </c>
      <c r="C146" s="814" t="s">
        <v>190</v>
      </c>
      <c r="D146" s="814" t="s">
        <v>8</v>
      </c>
      <c r="E146" s="814"/>
      <c r="F146" s="814"/>
      <c r="G146" s="814"/>
      <c r="H146" s="814"/>
      <c r="I146" s="814"/>
    </row>
    <row r="147" spans="1:9" s="11" customFormat="1" ht="15.75" customHeight="1">
      <c r="A147" s="615" t="s">
        <v>1002</v>
      </c>
      <c r="B147" s="631" t="s">
        <v>0</v>
      </c>
      <c r="C147" s="139" t="s">
        <v>79</v>
      </c>
      <c r="D147" s="109" t="s">
        <v>199</v>
      </c>
      <c r="E147" s="110" t="s">
        <v>34</v>
      </c>
      <c r="F147" s="341">
        <f aca="true" t="shared" si="2" ref="F147:F152">I147</f>
        <v>252</v>
      </c>
      <c r="G147" s="110"/>
      <c r="H147" s="505"/>
      <c r="I147" s="110">
        <f>E148</f>
        <v>252</v>
      </c>
    </row>
    <row r="148" spans="1:11" s="8" customFormat="1" ht="57" customHeight="1" hidden="1">
      <c r="A148" s="615"/>
      <c r="B148" s="631"/>
      <c r="C148" s="138" t="s">
        <v>894</v>
      </c>
      <c r="D148" s="111" t="s">
        <v>200</v>
      </c>
      <c r="E148" s="107">
        <f>2.8*90</f>
        <v>252</v>
      </c>
      <c r="F148" s="341" t="str">
        <f t="shared" si="2"/>
        <v>x</v>
      </c>
      <c r="G148" s="107"/>
      <c r="H148" s="505"/>
      <c r="I148" s="107" t="s">
        <v>34</v>
      </c>
      <c r="J148" s="129"/>
      <c r="K148" s="129"/>
    </row>
    <row r="149" spans="1:9" s="8" customFormat="1" ht="46.5" customHeight="1" hidden="1">
      <c r="A149" s="614" t="s">
        <v>611</v>
      </c>
      <c r="B149" s="632" t="s">
        <v>0</v>
      </c>
      <c r="C149" s="138" t="s">
        <v>895</v>
      </c>
      <c r="D149" s="111" t="s">
        <v>200</v>
      </c>
      <c r="E149" s="107">
        <v>252</v>
      </c>
      <c r="F149" s="341">
        <f t="shared" si="2"/>
        <v>252</v>
      </c>
      <c r="G149" s="107"/>
      <c r="H149" s="505"/>
      <c r="I149" s="107">
        <f>E149</f>
        <v>252</v>
      </c>
    </row>
    <row r="150" spans="1:9" s="8" customFormat="1" ht="18.75" customHeight="1" hidden="1">
      <c r="A150" s="615">
        <v>44</v>
      </c>
      <c r="B150" s="615" t="s">
        <v>130</v>
      </c>
      <c r="C150" s="139" t="s">
        <v>191</v>
      </c>
      <c r="D150" s="109" t="s">
        <v>199</v>
      </c>
      <c r="E150" s="110" t="s">
        <v>34</v>
      </c>
      <c r="F150" s="341">
        <f t="shared" si="2"/>
        <v>0</v>
      </c>
      <c r="G150" s="110"/>
      <c r="H150" s="505"/>
      <c r="I150" s="110">
        <f>E151</f>
        <v>0</v>
      </c>
    </row>
    <row r="151" spans="1:9" s="8" customFormat="1" ht="80.25" customHeight="1" hidden="1">
      <c r="A151" s="614"/>
      <c r="B151" s="632"/>
      <c r="C151" s="138" t="s">
        <v>493</v>
      </c>
      <c r="D151" s="111" t="s">
        <v>200</v>
      </c>
      <c r="E151" s="107">
        <v>0</v>
      </c>
      <c r="F151" s="341" t="str">
        <f t="shared" si="2"/>
        <v>x</v>
      </c>
      <c r="G151" s="107"/>
      <c r="H151" s="505"/>
      <c r="I151" s="107" t="s">
        <v>34</v>
      </c>
    </row>
    <row r="152" spans="1:9" s="8" customFormat="1" ht="20.25" customHeight="1">
      <c r="A152" s="621" t="s">
        <v>1003</v>
      </c>
      <c r="B152" s="621" t="s">
        <v>866</v>
      </c>
      <c r="C152" s="576" t="s">
        <v>867</v>
      </c>
      <c r="D152" s="577" t="s">
        <v>199</v>
      </c>
      <c r="E152" s="578" t="s">
        <v>34</v>
      </c>
      <c r="F152" s="341">
        <f t="shared" si="2"/>
        <v>13.65</v>
      </c>
      <c r="G152" s="578"/>
      <c r="H152" s="505"/>
      <c r="I152" s="578">
        <f>E153</f>
        <v>13.65</v>
      </c>
    </row>
    <row r="153" spans="1:9" s="8" customFormat="1" ht="48" customHeight="1" hidden="1">
      <c r="A153" s="690"/>
      <c r="B153" s="635"/>
      <c r="C153" s="579" t="s">
        <v>896</v>
      </c>
      <c r="D153" s="580" t="s">
        <v>200</v>
      </c>
      <c r="E153" s="581">
        <v>13.65</v>
      </c>
      <c r="F153" s="578"/>
      <c r="G153" s="581"/>
      <c r="H153" s="507"/>
      <c r="I153" s="581" t="s">
        <v>34</v>
      </c>
    </row>
    <row r="154" spans="1:9" s="8" customFormat="1" ht="18.75" customHeight="1" hidden="1">
      <c r="A154" s="611" t="s">
        <v>34</v>
      </c>
      <c r="B154" s="611" t="s">
        <v>645</v>
      </c>
      <c r="C154" s="814" t="s">
        <v>644</v>
      </c>
      <c r="D154" s="814" t="s">
        <v>8</v>
      </c>
      <c r="E154" s="814"/>
      <c r="F154" s="814"/>
      <c r="G154" s="814"/>
      <c r="H154" s="814"/>
      <c r="I154" s="814"/>
    </row>
    <row r="155" spans="1:9" s="8" customFormat="1" ht="21" customHeight="1" hidden="1">
      <c r="A155" s="615">
        <v>42</v>
      </c>
      <c r="B155" s="631" t="s">
        <v>221</v>
      </c>
      <c r="C155" s="139" t="s">
        <v>647</v>
      </c>
      <c r="D155" s="109" t="s">
        <v>199</v>
      </c>
      <c r="E155" s="211" t="s">
        <v>34</v>
      </c>
      <c r="F155" s="211"/>
      <c r="G155" s="211"/>
      <c r="H155" s="511"/>
      <c r="I155" s="211">
        <f>E156</f>
        <v>45.4</v>
      </c>
    </row>
    <row r="156" spans="1:9" s="8" customFormat="1" ht="42.75" customHeight="1" hidden="1">
      <c r="A156" s="615"/>
      <c r="B156" s="631"/>
      <c r="C156" s="138" t="s">
        <v>648</v>
      </c>
      <c r="D156" s="111" t="s">
        <v>200</v>
      </c>
      <c r="E156" s="457">
        <f>25.9+19.5</f>
        <v>45.4</v>
      </c>
      <c r="F156" s="211"/>
      <c r="G156" s="457"/>
      <c r="H156" s="511"/>
      <c r="I156" s="457" t="s">
        <v>34</v>
      </c>
    </row>
    <row r="157" spans="1:9" s="11" customFormat="1" ht="18" customHeight="1" hidden="1">
      <c r="A157" s="141"/>
      <c r="B157" s="141"/>
      <c r="C157" s="141"/>
      <c r="D157" s="141"/>
      <c r="E157" s="141"/>
      <c r="F157" s="141"/>
      <c r="G157" s="141"/>
      <c r="H157" s="141"/>
      <c r="I157" s="141"/>
    </row>
    <row r="158" spans="1:9" s="11" customFormat="1" ht="18.75" customHeight="1" hidden="1">
      <c r="A158" s="141"/>
      <c r="B158" s="141"/>
      <c r="C158" s="141"/>
      <c r="D158" s="141"/>
      <c r="E158" s="141"/>
      <c r="F158" s="141"/>
      <c r="G158" s="141"/>
      <c r="H158" s="141"/>
      <c r="I158" s="141"/>
    </row>
    <row r="159" spans="1:9" s="11" customFormat="1" ht="43.5" customHeight="1" hidden="1">
      <c r="A159" s="615"/>
      <c r="B159" s="631"/>
      <c r="C159" s="138" t="s">
        <v>860</v>
      </c>
      <c r="D159" s="111" t="s">
        <v>11</v>
      </c>
      <c r="E159" s="107">
        <v>34</v>
      </c>
      <c r="F159" s="110"/>
      <c r="G159" s="107"/>
      <c r="H159" s="507"/>
      <c r="I159" s="107" t="s">
        <v>34</v>
      </c>
    </row>
    <row r="160" spans="1:9" s="11" customFormat="1" ht="21" customHeight="1">
      <c r="A160" s="611" t="s">
        <v>34</v>
      </c>
      <c r="B160" s="611" t="s">
        <v>974</v>
      </c>
      <c r="C160" s="814" t="s">
        <v>975</v>
      </c>
      <c r="D160" s="814" t="s">
        <v>8</v>
      </c>
      <c r="E160" s="814"/>
      <c r="F160" s="814"/>
      <c r="G160" s="814"/>
      <c r="H160" s="814"/>
      <c r="I160" s="814"/>
    </row>
    <row r="161" spans="1:9" s="11" customFormat="1" ht="15" customHeight="1">
      <c r="A161" s="621" t="s">
        <v>1004</v>
      </c>
      <c r="B161" s="621" t="s">
        <v>976</v>
      </c>
      <c r="C161" s="576" t="s">
        <v>983</v>
      </c>
      <c r="D161" s="577" t="s">
        <v>11</v>
      </c>
      <c r="E161" s="578" t="s">
        <v>34</v>
      </c>
      <c r="F161" s="341">
        <f aca="true" t="shared" si="3" ref="F161:F170">I161</f>
        <v>18</v>
      </c>
      <c r="G161" s="578"/>
      <c r="H161" s="505"/>
      <c r="I161" s="578">
        <f>E162</f>
        <v>18</v>
      </c>
    </row>
    <row r="162" spans="1:9" s="11" customFormat="1" ht="36.75" customHeight="1" hidden="1">
      <c r="A162" s="690"/>
      <c r="B162" s="635"/>
      <c r="C162" s="579" t="s">
        <v>985</v>
      </c>
      <c r="D162" s="580" t="s">
        <v>11</v>
      </c>
      <c r="E162" s="581">
        <v>18</v>
      </c>
      <c r="F162" s="341" t="str">
        <f t="shared" si="3"/>
        <v>x</v>
      </c>
      <c r="G162" s="581"/>
      <c r="H162" s="507"/>
      <c r="I162" s="581" t="s">
        <v>34</v>
      </c>
    </row>
    <row r="163" spans="1:9" s="11" customFormat="1" ht="12.75" hidden="1">
      <c r="A163" s="690"/>
      <c r="B163" s="635"/>
      <c r="C163" s="691" t="s">
        <v>977</v>
      </c>
      <c r="D163" s="580"/>
      <c r="E163" s="581"/>
      <c r="F163" s="341">
        <f t="shared" si="3"/>
        <v>0</v>
      </c>
      <c r="G163" s="581"/>
      <c r="H163" s="507"/>
      <c r="I163" s="581"/>
    </row>
    <row r="164" spans="1:9" s="11" customFormat="1" ht="15" hidden="1">
      <c r="A164" s="692"/>
      <c r="B164" s="693"/>
      <c r="C164" s="691" t="s">
        <v>978</v>
      </c>
      <c r="D164" s="694" t="s">
        <v>300</v>
      </c>
      <c r="E164" s="695">
        <f>1.2*0.3*1</f>
        <v>0.36</v>
      </c>
      <c r="F164" s="341">
        <f t="shared" si="3"/>
        <v>0.36</v>
      </c>
      <c r="G164" s="695"/>
      <c r="H164" s="696"/>
      <c r="I164" s="695">
        <f>E164</f>
        <v>0.36</v>
      </c>
    </row>
    <row r="165" spans="1:9" s="11" customFormat="1" ht="26.25" hidden="1">
      <c r="A165" s="690"/>
      <c r="B165" s="635"/>
      <c r="C165" s="691" t="s">
        <v>979</v>
      </c>
      <c r="D165" s="694" t="s">
        <v>300</v>
      </c>
      <c r="E165" s="695">
        <f>1.2*0.2*1</f>
        <v>0.24</v>
      </c>
      <c r="F165" s="341">
        <f t="shared" si="3"/>
        <v>0.24</v>
      </c>
      <c r="G165" s="695"/>
      <c r="H165" s="696"/>
      <c r="I165" s="695">
        <f>E165</f>
        <v>0.24</v>
      </c>
    </row>
    <row r="166" spans="1:9" s="11" customFormat="1" ht="26.25" hidden="1">
      <c r="A166" s="690"/>
      <c r="B166" s="635"/>
      <c r="C166" s="691" t="s">
        <v>984</v>
      </c>
      <c r="D166" s="694" t="s">
        <v>300</v>
      </c>
      <c r="E166" s="695">
        <f>(1*1.2-(3.14*0.25*0.25))</f>
        <v>1</v>
      </c>
      <c r="F166" s="341">
        <f t="shared" si="3"/>
        <v>1</v>
      </c>
      <c r="G166" s="695"/>
      <c r="H166" s="696"/>
      <c r="I166" s="695">
        <f>E166</f>
        <v>1</v>
      </c>
    </row>
    <row r="167" spans="1:9" s="11" customFormat="1" ht="57.75" customHeight="1" hidden="1">
      <c r="A167" s="615"/>
      <c r="B167" s="631"/>
      <c r="C167" s="138"/>
      <c r="D167" s="111"/>
      <c r="E167" s="107"/>
      <c r="F167" s="341">
        <f t="shared" si="3"/>
        <v>0</v>
      </c>
      <c r="G167" s="107"/>
      <c r="H167" s="507"/>
      <c r="I167" s="107"/>
    </row>
    <row r="168" spans="1:9" s="11" customFormat="1" ht="18.75" customHeight="1">
      <c r="A168" s="611" t="s">
        <v>34</v>
      </c>
      <c r="B168" s="611" t="s">
        <v>219</v>
      </c>
      <c r="C168" s="814" t="s">
        <v>220</v>
      </c>
      <c r="D168" s="814" t="s">
        <v>8</v>
      </c>
      <c r="E168" s="814"/>
      <c r="F168" s="814"/>
      <c r="G168" s="814"/>
      <c r="H168" s="814"/>
      <c r="I168" s="814"/>
    </row>
    <row r="169" spans="1:9" s="11" customFormat="1" ht="20.25" customHeight="1">
      <c r="A169" s="615" t="s">
        <v>1005</v>
      </c>
      <c r="B169" s="631" t="s">
        <v>221</v>
      </c>
      <c r="C169" s="139" t="s">
        <v>723</v>
      </c>
      <c r="D169" s="109" t="s">
        <v>11</v>
      </c>
      <c r="E169" s="110" t="s">
        <v>34</v>
      </c>
      <c r="F169" s="341">
        <f>I169</f>
        <v>34</v>
      </c>
      <c r="G169" s="110"/>
      <c r="H169" s="505"/>
      <c r="I169" s="110">
        <f>E159</f>
        <v>34</v>
      </c>
    </row>
    <row r="170" spans="1:9" s="11" customFormat="1" ht="19.5" customHeight="1">
      <c r="A170" s="613" t="s">
        <v>1006</v>
      </c>
      <c r="B170" s="608" t="s">
        <v>986</v>
      </c>
      <c r="C170" s="136" t="s">
        <v>987</v>
      </c>
      <c r="D170" s="577" t="s">
        <v>9</v>
      </c>
      <c r="E170" s="578" t="s">
        <v>34</v>
      </c>
      <c r="F170" s="341">
        <f t="shared" si="3"/>
        <v>4</v>
      </c>
      <c r="G170" s="578"/>
      <c r="H170" s="505"/>
      <c r="I170" s="578">
        <f>E171</f>
        <v>4</v>
      </c>
    </row>
    <row r="171" spans="1:9" s="11" customFormat="1" ht="78.75" hidden="1">
      <c r="A171" s="613"/>
      <c r="B171" s="623"/>
      <c r="C171" s="137" t="s">
        <v>988</v>
      </c>
      <c r="D171" s="104" t="s">
        <v>9</v>
      </c>
      <c r="E171" s="105">
        <v>4</v>
      </c>
      <c r="F171" s="101"/>
      <c r="G171" s="105"/>
      <c r="H171" s="507"/>
      <c r="I171" s="105" t="s">
        <v>34</v>
      </c>
    </row>
    <row r="172" spans="1:9" s="11" customFormat="1" ht="57.75" customHeight="1" hidden="1">
      <c r="A172" s="615"/>
      <c r="B172" s="631"/>
      <c r="C172" s="138"/>
      <c r="D172" s="111"/>
      <c r="E172" s="107"/>
      <c r="F172" s="110"/>
      <c r="G172" s="107"/>
      <c r="H172" s="507"/>
      <c r="I172" s="107"/>
    </row>
    <row r="173" spans="1:9" s="11" customFormat="1" ht="25.5" customHeight="1">
      <c r="A173" s="611" t="s">
        <v>34</v>
      </c>
      <c r="B173" s="611" t="s">
        <v>897</v>
      </c>
      <c r="C173" s="814" t="s">
        <v>898</v>
      </c>
      <c r="D173" s="814"/>
      <c r="E173" s="814"/>
      <c r="F173" s="814"/>
      <c r="G173" s="814"/>
      <c r="H173" s="814"/>
      <c r="I173" s="814"/>
    </row>
    <row r="174" spans="1:9" s="11" customFormat="1" ht="24.75" customHeight="1">
      <c r="A174" s="621" t="s">
        <v>1007</v>
      </c>
      <c r="B174" s="621" t="s">
        <v>899</v>
      </c>
      <c r="C174" s="576" t="s">
        <v>900</v>
      </c>
      <c r="D174" s="577" t="s">
        <v>199</v>
      </c>
      <c r="E174" s="578" t="s">
        <v>34</v>
      </c>
      <c r="F174" s="341">
        <f>I174</f>
        <v>69.5</v>
      </c>
      <c r="G174" s="578"/>
      <c r="H174" s="505"/>
      <c r="I174" s="578">
        <v>69.5</v>
      </c>
    </row>
    <row r="175" spans="1:9" s="11" customFormat="1" ht="37.5" customHeight="1" hidden="1">
      <c r="A175" s="697"/>
      <c r="B175" s="636"/>
      <c r="C175" s="579" t="s">
        <v>947</v>
      </c>
      <c r="D175" s="580" t="s">
        <v>200</v>
      </c>
      <c r="E175" s="581">
        <v>69.5</v>
      </c>
      <c r="F175" s="578"/>
      <c r="G175" s="581"/>
      <c r="H175" s="507"/>
      <c r="I175" s="581" t="s">
        <v>34</v>
      </c>
    </row>
    <row r="176" spans="1:11" s="11" customFormat="1" ht="15">
      <c r="A176" s="844" t="s">
        <v>810</v>
      </c>
      <c r="B176" s="844"/>
      <c r="C176" s="844"/>
      <c r="D176" s="844"/>
      <c r="E176" s="844"/>
      <c r="F176" s="844"/>
      <c r="G176" s="844"/>
      <c r="H176" s="529"/>
      <c r="I176" s="581"/>
      <c r="K176" s="655">
        <f>H176</f>
        <v>0</v>
      </c>
    </row>
    <row r="177" spans="1:9" s="11" customFormat="1" ht="43.5" customHeight="1">
      <c r="A177" s="610" t="s">
        <v>101</v>
      </c>
      <c r="B177" s="610" t="s">
        <v>66</v>
      </c>
      <c r="C177" s="684" t="s">
        <v>207</v>
      </c>
      <c r="D177" s="684" t="s">
        <v>8</v>
      </c>
      <c r="E177" s="684"/>
      <c r="F177" s="684"/>
      <c r="G177" s="698"/>
      <c r="H177" s="699"/>
      <c r="I177" s="684"/>
    </row>
    <row r="178" spans="1:9" s="11" customFormat="1" ht="18" customHeight="1" hidden="1">
      <c r="A178" s="611" t="s">
        <v>34</v>
      </c>
      <c r="B178" s="611" t="s">
        <v>132</v>
      </c>
      <c r="C178" s="814" t="s">
        <v>131</v>
      </c>
      <c r="D178" s="814" t="s">
        <v>8</v>
      </c>
      <c r="E178" s="814"/>
      <c r="F178" s="814"/>
      <c r="G178" s="814"/>
      <c r="H178" s="814"/>
      <c r="I178" s="814"/>
    </row>
    <row r="179" spans="1:9" s="11" customFormat="1" ht="18" customHeight="1" hidden="1">
      <c r="A179" s="615">
        <v>17</v>
      </c>
      <c r="B179" s="615" t="s">
        <v>133</v>
      </c>
      <c r="C179" s="139" t="s">
        <v>192</v>
      </c>
      <c r="D179" s="109" t="s">
        <v>9</v>
      </c>
      <c r="E179" s="110" t="s">
        <v>34</v>
      </c>
      <c r="F179" s="110"/>
      <c r="G179" s="110"/>
      <c r="H179" s="507"/>
      <c r="I179" s="110">
        <f>E180</f>
        <v>3</v>
      </c>
    </row>
    <row r="180" spans="1:9" s="11" customFormat="1" ht="40.5" customHeight="1" hidden="1">
      <c r="A180" s="614"/>
      <c r="B180" s="632"/>
      <c r="C180" s="138" t="s">
        <v>724</v>
      </c>
      <c r="D180" s="111" t="s">
        <v>9</v>
      </c>
      <c r="E180" s="107">
        <v>3</v>
      </c>
      <c r="F180" s="110"/>
      <c r="G180" s="107"/>
      <c r="H180" s="507"/>
      <c r="I180" s="107" t="s">
        <v>34</v>
      </c>
    </row>
    <row r="181" spans="1:9" s="11" customFormat="1" ht="18" customHeight="1" hidden="1">
      <c r="A181" s="615">
        <v>18</v>
      </c>
      <c r="B181" s="615" t="s">
        <v>193</v>
      </c>
      <c r="C181" s="139" t="s">
        <v>279</v>
      </c>
      <c r="D181" s="109" t="s">
        <v>9</v>
      </c>
      <c r="E181" s="110" t="s">
        <v>34</v>
      </c>
      <c r="F181" s="110"/>
      <c r="G181" s="110"/>
      <c r="H181" s="507"/>
      <c r="I181" s="110">
        <f>E182</f>
        <v>5</v>
      </c>
    </row>
    <row r="182" spans="1:9" s="11" customFormat="1" ht="42.75" customHeight="1" hidden="1">
      <c r="A182" s="615"/>
      <c r="B182" s="632"/>
      <c r="C182" s="138" t="s">
        <v>725</v>
      </c>
      <c r="D182" s="111" t="s">
        <v>9</v>
      </c>
      <c r="E182" s="107">
        <v>5</v>
      </c>
      <c r="F182" s="110"/>
      <c r="G182" s="107"/>
      <c r="H182" s="507"/>
      <c r="I182" s="110" t="s">
        <v>34</v>
      </c>
    </row>
    <row r="183" spans="1:9" s="11" customFormat="1" ht="18" customHeight="1" hidden="1">
      <c r="A183" s="611" t="s">
        <v>34</v>
      </c>
      <c r="B183" s="611" t="s">
        <v>194</v>
      </c>
      <c r="C183" s="814" t="s">
        <v>195</v>
      </c>
      <c r="D183" s="814" t="s">
        <v>8</v>
      </c>
      <c r="E183" s="814"/>
      <c r="F183" s="814"/>
      <c r="G183" s="814"/>
      <c r="H183" s="814"/>
      <c r="I183" s="814"/>
    </row>
    <row r="184" spans="1:9" s="11" customFormat="1" ht="18.75" customHeight="1" hidden="1">
      <c r="A184" s="615">
        <v>48</v>
      </c>
      <c r="B184" s="615" t="s">
        <v>196</v>
      </c>
      <c r="C184" s="139" t="s">
        <v>281</v>
      </c>
      <c r="D184" s="109" t="s">
        <v>11</v>
      </c>
      <c r="E184" s="110" t="s">
        <v>34</v>
      </c>
      <c r="F184" s="110"/>
      <c r="G184" s="110"/>
      <c r="H184" s="507"/>
      <c r="I184" s="110">
        <f>E185</f>
        <v>0</v>
      </c>
    </row>
    <row r="185" spans="1:9" s="11" customFormat="1" ht="64.5" customHeight="1" hidden="1">
      <c r="A185" s="615"/>
      <c r="B185" s="632"/>
      <c r="C185" s="138" t="s">
        <v>463</v>
      </c>
      <c r="D185" s="111" t="s">
        <v>11</v>
      </c>
      <c r="E185" s="107">
        <v>0</v>
      </c>
      <c r="F185" s="110"/>
      <c r="G185" s="107"/>
      <c r="H185" s="507"/>
      <c r="I185" s="110" t="s">
        <v>34</v>
      </c>
    </row>
    <row r="186" spans="1:9" s="11" customFormat="1" ht="22.5" customHeight="1">
      <c r="A186" s="611" t="s">
        <v>34</v>
      </c>
      <c r="B186" s="611" t="s">
        <v>948</v>
      </c>
      <c r="C186" s="814" t="s">
        <v>949</v>
      </c>
      <c r="D186" s="814" t="s">
        <v>8</v>
      </c>
      <c r="E186" s="814"/>
      <c r="F186" s="814"/>
      <c r="G186" s="814"/>
      <c r="H186" s="814"/>
      <c r="I186" s="814"/>
    </row>
    <row r="187" spans="1:9" s="11" customFormat="1" ht="19.5" customHeight="1">
      <c r="A187" s="621" t="s">
        <v>1008</v>
      </c>
      <c r="B187" s="637" t="s">
        <v>950</v>
      </c>
      <c r="C187" s="576" t="s">
        <v>951</v>
      </c>
      <c r="D187" s="577" t="s">
        <v>11</v>
      </c>
      <c r="E187" s="578" t="s">
        <v>34</v>
      </c>
      <c r="F187" s="341">
        <f>I187</f>
        <v>70</v>
      </c>
      <c r="G187" s="578"/>
      <c r="H187" s="505"/>
      <c r="I187" s="578">
        <v>70</v>
      </c>
    </row>
    <row r="188" spans="1:9" s="11" customFormat="1" ht="64.5" customHeight="1" hidden="1">
      <c r="A188" s="621"/>
      <c r="B188" s="635"/>
      <c r="C188" s="579" t="s">
        <v>952</v>
      </c>
      <c r="D188" s="580" t="s">
        <v>11</v>
      </c>
      <c r="E188" s="581">
        <v>70</v>
      </c>
      <c r="F188" s="341" t="str">
        <f>I188</f>
        <v>x</v>
      </c>
      <c r="G188" s="581"/>
      <c r="H188" s="507"/>
      <c r="I188" s="578" t="s">
        <v>34</v>
      </c>
    </row>
    <row r="189" spans="1:9" s="11" customFormat="1" ht="15.75" customHeight="1">
      <c r="A189" s="621" t="s">
        <v>1009</v>
      </c>
      <c r="B189" s="637" t="s">
        <v>953</v>
      </c>
      <c r="C189" s="576" t="s">
        <v>954</v>
      </c>
      <c r="D189" s="577" t="s">
        <v>9</v>
      </c>
      <c r="E189" s="578" t="s">
        <v>34</v>
      </c>
      <c r="F189" s="341">
        <f>I189</f>
        <v>1</v>
      </c>
      <c r="G189" s="578"/>
      <c r="H189" s="505"/>
      <c r="I189" s="578">
        <v>1</v>
      </c>
    </row>
    <row r="190" spans="1:9" s="11" customFormat="1" ht="64.5" customHeight="1" hidden="1">
      <c r="A190" s="621"/>
      <c r="B190" s="635"/>
      <c r="C190" s="579" t="s">
        <v>955</v>
      </c>
      <c r="D190" s="580" t="s">
        <v>12</v>
      </c>
      <c r="E190" s="581">
        <v>1</v>
      </c>
      <c r="F190" s="341" t="str">
        <f>I190</f>
        <v>x</v>
      </c>
      <c r="G190" s="581"/>
      <c r="H190" s="507"/>
      <c r="I190" s="578" t="s">
        <v>34</v>
      </c>
    </row>
    <row r="191" spans="1:9" s="11" customFormat="1" ht="19.5" customHeight="1">
      <c r="A191" s="621" t="s">
        <v>1010</v>
      </c>
      <c r="B191" s="637" t="s">
        <v>956</v>
      </c>
      <c r="C191" s="576" t="s">
        <v>957</v>
      </c>
      <c r="D191" s="577" t="s">
        <v>9</v>
      </c>
      <c r="E191" s="578" t="s">
        <v>34</v>
      </c>
      <c r="F191" s="341">
        <f>I191</f>
        <v>2</v>
      </c>
      <c r="G191" s="578"/>
      <c r="H191" s="505"/>
      <c r="I191" s="578">
        <v>2</v>
      </c>
    </row>
    <row r="192" spans="1:9" s="11" customFormat="1" ht="58.5" customHeight="1" hidden="1">
      <c r="A192" s="621"/>
      <c r="B192" s="635"/>
      <c r="C192" s="579" t="s">
        <v>958</v>
      </c>
      <c r="D192" s="580" t="s">
        <v>12</v>
      </c>
      <c r="E192" s="581">
        <v>2</v>
      </c>
      <c r="F192" s="578"/>
      <c r="G192" s="581"/>
      <c r="H192" s="507"/>
      <c r="I192" s="578" t="s">
        <v>34</v>
      </c>
    </row>
    <row r="193" spans="1:9" s="11" customFormat="1" ht="64.5" customHeight="1" hidden="1">
      <c r="A193" s="615"/>
      <c r="B193" s="632"/>
      <c r="C193" s="138"/>
      <c r="D193" s="111"/>
      <c r="E193" s="107"/>
      <c r="F193" s="110"/>
      <c r="G193" s="107"/>
      <c r="H193" s="507"/>
      <c r="I193" s="110"/>
    </row>
    <row r="194" spans="1:9" s="11" customFormat="1" ht="64.5" customHeight="1" hidden="1">
      <c r="A194" s="615"/>
      <c r="B194" s="632"/>
      <c r="C194" s="138"/>
      <c r="D194" s="111"/>
      <c r="E194" s="107"/>
      <c r="F194" s="110"/>
      <c r="G194" s="107"/>
      <c r="H194" s="507"/>
      <c r="I194" s="110"/>
    </row>
    <row r="195" spans="1:9" s="11" customFormat="1" ht="64.5" customHeight="1" hidden="1">
      <c r="A195" s="615"/>
      <c r="B195" s="632"/>
      <c r="C195" s="138"/>
      <c r="D195" s="111"/>
      <c r="E195" s="107"/>
      <c r="F195" s="110"/>
      <c r="G195" s="107"/>
      <c r="H195" s="507"/>
      <c r="I195" s="110"/>
    </row>
    <row r="196" spans="1:9" s="11" customFormat="1" ht="64.5" customHeight="1" hidden="1">
      <c r="A196" s="615"/>
      <c r="B196" s="632"/>
      <c r="C196" s="138"/>
      <c r="D196" s="111"/>
      <c r="E196" s="107"/>
      <c r="F196" s="110"/>
      <c r="G196" s="107"/>
      <c r="H196" s="507"/>
      <c r="I196" s="110"/>
    </row>
    <row r="197" spans="1:9" s="11" customFormat="1" ht="64.5" customHeight="1" hidden="1">
      <c r="A197" s="615"/>
      <c r="B197" s="632"/>
      <c r="C197" s="138"/>
      <c r="D197" s="111"/>
      <c r="E197" s="107"/>
      <c r="F197" s="110"/>
      <c r="G197" s="107"/>
      <c r="H197" s="507"/>
      <c r="I197" s="110"/>
    </row>
    <row r="198" spans="1:9" s="11" customFormat="1" ht="64.5" customHeight="1" hidden="1">
      <c r="A198" s="615"/>
      <c r="B198" s="632"/>
      <c r="C198" s="138"/>
      <c r="D198" s="111"/>
      <c r="E198" s="107"/>
      <c r="F198" s="110"/>
      <c r="G198" s="107"/>
      <c r="H198" s="507"/>
      <c r="I198" s="110"/>
    </row>
    <row r="199" spans="1:9" s="11" customFormat="1" ht="64.5" customHeight="1" hidden="1">
      <c r="A199" s="615"/>
      <c r="B199" s="632"/>
      <c r="C199" s="138"/>
      <c r="D199" s="111"/>
      <c r="E199" s="107"/>
      <c r="F199" s="110"/>
      <c r="G199" s="107"/>
      <c r="H199" s="507"/>
      <c r="I199" s="110"/>
    </row>
    <row r="200" spans="1:9" s="11" customFormat="1" ht="64.5" customHeight="1" hidden="1">
      <c r="A200" s="615"/>
      <c r="B200" s="632"/>
      <c r="C200" s="138"/>
      <c r="D200" s="111"/>
      <c r="E200" s="107"/>
      <c r="F200" s="110"/>
      <c r="G200" s="107"/>
      <c r="H200" s="507"/>
      <c r="I200" s="110"/>
    </row>
    <row r="201" spans="1:9" s="11" customFormat="1" ht="64.5" customHeight="1" hidden="1">
      <c r="A201" s="615"/>
      <c r="B201" s="632"/>
      <c r="C201" s="138"/>
      <c r="D201" s="111"/>
      <c r="E201" s="107"/>
      <c r="F201" s="110"/>
      <c r="G201" s="107"/>
      <c r="H201" s="507"/>
      <c r="I201" s="110"/>
    </row>
    <row r="202" spans="1:9" s="11" customFormat="1" ht="64.5" customHeight="1" hidden="1">
      <c r="A202" s="615"/>
      <c r="B202" s="632"/>
      <c r="C202" s="138"/>
      <c r="D202" s="111"/>
      <c r="E202" s="107"/>
      <c r="F202" s="110"/>
      <c r="G202" s="107"/>
      <c r="H202" s="507"/>
      <c r="I202" s="110"/>
    </row>
    <row r="203" spans="1:9" s="11" customFormat="1" ht="64.5" customHeight="1" hidden="1">
      <c r="A203" s="615"/>
      <c r="B203" s="632"/>
      <c r="C203" s="138"/>
      <c r="D203" s="111"/>
      <c r="E203" s="107"/>
      <c r="F203" s="110"/>
      <c r="G203" s="107"/>
      <c r="H203" s="507"/>
      <c r="I203" s="110"/>
    </row>
    <row r="204" spans="1:9" s="11" customFormat="1" ht="64.5" customHeight="1" hidden="1">
      <c r="A204" s="615"/>
      <c r="B204" s="632"/>
      <c r="C204" s="138"/>
      <c r="D204" s="111"/>
      <c r="E204" s="107"/>
      <c r="F204" s="110"/>
      <c r="G204" s="107"/>
      <c r="H204" s="507"/>
      <c r="I204" s="110"/>
    </row>
    <row r="205" spans="1:9" s="11" customFormat="1" ht="64.5" customHeight="1" hidden="1">
      <c r="A205" s="615"/>
      <c r="B205" s="632"/>
      <c r="C205" s="138"/>
      <c r="D205" s="111"/>
      <c r="E205" s="107"/>
      <c r="F205" s="110"/>
      <c r="G205" s="107"/>
      <c r="H205" s="507"/>
      <c r="I205" s="110"/>
    </row>
    <row r="206" spans="1:11" s="11" customFormat="1" ht="15">
      <c r="A206" s="844" t="s">
        <v>813</v>
      </c>
      <c r="B206" s="844"/>
      <c r="C206" s="844"/>
      <c r="D206" s="844"/>
      <c r="E206" s="844"/>
      <c r="F206" s="844"/>
      <c r="G206" s="844"/>
      <c r="H206" s="529"/>
      <c r="I206" s="110"/>
      <c r="K206" s="655">
        <f>H206</f>
        <v>0</v>
      </c>
    </row>
    <row r="207" spans="1:9" s="11" customFormat="1" ht="30" customHeight="1">
      <c r="A207" s="610" t="s">
        <v>33</v>
      </c>
      <c r="B207" s="610" t="s">
        <v>68</v>
      </c>
      <c r="C207" s="848" t="s">
        <v>208</v>
      </c>
      <c r="D207" s="848"/>
      <c r="E207" s="848"/>
      <c r="F207" s="848"/>
      <c r="G207" s="848"/>
      <c r="H207" s="848"/>
      <c r="I207" s="848"/>
    </row>
    <row r="208" spans="1:9" s="11" customFormat="1" ht="18" customHeight="1">
      <c r="A208" s="611" t="s">
        <v>34</v>
      </c>
      <c r="B208" s="611" t="s">
        <v>24</v>
      </c>
      <c r="C208" s="814" t="s">
        <v>25</v>
      </c>
      <c r="D208" s="814" t="s">
        <v>8</v>
      </c>
      <c r="E208" s="814"/>
      <c r="F208" s="814"/>
      <c r="G208" s="814"/>
      <c r="H208" s="814"/>
      <c r="I208" s="814"/>
    </row>
    <row r="209" spans="1:9" s="11" customFormat="1" ht="29.25" customHeight="1">
      <c r="A209" s="615" t="s">
        <v>1011</v>
      </c>
      <c r="B209" s="631" t="s">
        <v>649</v>
      </c>
      <c r="C209" s="142" t="s">
        <v>650</v>
      </c>
      <c r="D209" s="109" t="s">
        <v>11</v>
      </c>
      <c r="E209" s="110" t="s">
        <v>34</v>
      </c>
      <c r="F209" s="341">
        <f>I209</f>
        <v>98</v>
      </c>
      <c r="G209" s="110"/>
      <c r="H209" s="505"/>
      <c r="I209" s="110">
        <f>SUM(E210:E210)</f>
        <v>98</v>
      </c>
    </row>
    <row r="210" spans="1:9" s="11" customFormat="1" ht="57.75" customHeight="1" hidden="1">
      <c r="A210" s="615"/>
      <c r="B210" s="632"/>
      <c r="C210" s="138" t="s">
        <v>861</v>
      </c>
      <c r="D210" s="111" t="s">
        <v>11</v>
      </c>
      <c r="E210" s="107">
        <v>98</v>
      </c>
      <c r="F210" s="110"/>
      <c r="G210" s="107"/>
      <c r="H210" s="507"/>
      <c r="I210" s="110" t="s">
        <v>34</v>
      </c>
    </row>
    <row r="211" spans="1:9" s="8" customFormat="1" ht="18" customHeight="1">
      <c r="A211" s="611" t="s">
        <v>34</v>
      </c>
      <c r="B211" s="611" t="s">
        <v>26</v>
      </c>
      <c r="C211" s="814" t="s">
        <v>27</v>
      </c>
      <c r="D211" s="814" t="s">
        <v>8</v>
      </c>
      <c r="E211" s="814"/>
      <c r="F211" s="814"/>
      <c r="G211" s="814"/>
      <c r="H211" s="814"/>
      <c r="I211" s="814"/>
    </row>
    <row r="212" spans="1:11" s="8" customFormat="1" ht="18" customHeight="1">
      <c r="A212" s="615" t="s">
        <v>1012</v>
      </c>
      <c r="B212" s="631" t="s">
        <v>99</v>
      </c>
      <c r="C212" s="139" t="s">
        <v>100</v>
      </c>
      <c r="D212" s="109" t="s">
        <v>199</v>
      </c>
      <c r="E212" s="110" t="s">
        <v>34</v>
      </c>
      <c r="F212" s="341">
        <f>I212</f>
        <v>146.5</v>
      </c>
      <c r="G212" s="110"/>
      <c r="H212" s="505"/>
      <c r="I212" s="110">
        <f>E213</f>
        <v>146.5</v>
      </c>
      <c r="J212" s="48"/>
      <c r="K212" s="48"/>
    </row>
    <row r="213" spans="1:9" s="13" customFormat="1" ht="77.25" customHeight="1" hidden="1">
      <c r="A213" s="615" t="s">
        <v>8</v>
      </c>
      <c r="B213" s="638"/>
      <c r="C213" s="138" t="s">
        <v>862</v>
      </c>
      <c r="D213" s="111" t="s">
        <v>200</v>
      </c>
      <c r="E213" s="107">
        <v>146.5</v>
      </c>
      <c r="F213" s="341" t="str">
        <f>I213</f>
        <v>x</v>
      </c>
      <c r="G213" s="107"/>
      <c r="H213" s="507"/>
      <c r="I213" s="110" t="s">
        <v>34</v>
      </c>
    </row>
    <row r="214" spans="1:9" s="8" customFormat="1" ht="30" customHeight="1">
      <c r="A214" s="615" t="s">
        <v>1013</v>
      </c>
      <c r="B214" s="631" t="s">
        <v>1</v>
      </c>
      <c r="C214" s="139" t="s">
        <v>285</v>
      </c>
      <c r="D214" s="109" t="s">
        <v>199</v>
      </c>
      <c r="E214" s="110" t="s">
        <v>34</v>
      </c>
      <c r="F214" s="341">
        <f>I214</f>
        <v>25</v>
      </c>
      <c r="G214" s="110"/>
      <c r="H214" s="505"/>
      <c r="I214" s="110">
        <f>E215</f>
        <v>25</v>
      </c>
    </row>
    <row r="215" spans="1:9" s="8" customFormat="1" ht="57" customHeight="1" hidden="1">
      <c r="A215" s="615" t="s">
        <v>8</v>
      </c>
      <c r="B215" s="638"/>
      <c r="C215" s="138" t="s">
        <v>890</v>
      </c>
      <c r="D215" s="111" t="s">
        <v>200</v>
      </c>
      <c r="E215" s="107">
        <v>25</v>
      </c>
      <c r="F215" s="110"/>
      <c r="G215" s="107"/>
      <c r="H215" s="507"/>
      <c r="I215" s="110" t="s">
        <v>34</v>
      </c>
    </row>
    <row r="216" spans="1:9" s="8" customFormat="1" ht="18" customHeight="1">
      <c r="A216" s="611" t="s">
        <v>34</v>
      </c>
      <c r="B216" s="611" t="s">
        <v>28</v>
      </c>
      <c r="C216" s="814" t="s">
        <v>29</v>
      </c>
      <c r="D216" s="814" t="s">
        <v>8</v>
      </c>
      <c r="E216" s="814"/>
      <c r="F216" s="814"/>
      <c r="G216" s="814"/>
      <c r="H216" s="814"/>
      <c r="I216" s="814"/>
    </row>
    <row r="217" spans="1:9" s="8" customFormat="1" ht="17.25" customHeight="1">
      <c r="A217" s="615" t="s">
        <v>1014</v>
      </c>
      <c r="B217" s="631" t="s">
        <v>2</v>
      </c>
      <c r="C217" s="139" t="s">
        <v>134</v>
      </c>
      <c r="D217" s="109" t="s">
        <v>11</v>
      </c>
      <c r="E217" s="110" t="s">
        <v>34</v>
      </c>
      <c r="F217" s="341">
        <f>I217</f>
        <v>108.4</v>
      </c>
      <c r="G217" s="110"/>
      <c r="H217" s="505"/>
      <c r="I217" s="110">
        <f>E218</f>
        <v>108.4</v>
      </c>
    </row>
    <row r="218" spans="1:10" s="11" customFormat="1" ht="43.5" customHeight="1" hidden="1">
      <c r="A218" s="615" t="s">
        <v>8</v>
      </c>
      <c r="B218" s="638"/>
      <c r="C218" s="138" t="s">
        <v>864</v>
      </c>
      <c r="D218" s="111" t="s">
        <v>11</v>
      </c>
      <c r="E218" s="107">
        <f>98+10.4</f>
        <v>108.4</v>
      </c>
      <c r="F218" s="110"/>
      <c r="G218" s="107"/>
      <c r="H218" s="507"/>
      <c r="I218" s="107" t="s">
        <v>34</v>
      </c>
      <c r="J218" s="429"/>
    </row>
    <row r="219" spans="1:10" s="11" customFormat="1" ht="25.5" customHeight="1">
      <c r="A219" s="611" t="s">
        <v>34</v>
      </c>
      <c r="B219" s="611" t="s">
        <v>877</v>
      </c>
      <c r="C219" s="814" t="s">
        <v>878</v>
      </c>
      <c r="D219" s="814"/>
      <c r="E219" s="814"/>
      <c r="F219" s="814"/>
      <c r="G219" s="814"/>
      <c r="H219" s="814"/>
      <c r="I219" s="814"/>
      <c r="J219" s="429"/>
    </row>
    <row r="220" spans="1:10" s="11" customFormat="1" ht="27.75" customHeight="1">
      <c r="A220" s="663" t="s">
        <v>1015</v>
      </c>
      <c r="B220" s="637" t="s">
        <v>879</v>
      </c>
      <c r="C220" s="576" t="s">
        <v>901</v>
      </c>
      <c r="D220" s="577" t="s">
        <v>11</v>
      </c>
      <c r="E220" s="578" t="s">
        <v>34</v>
      </c>
      <c r="F220" s="341">
        <f>I220</f>
        <v>56</v>
      </c>
      <c r="G220" s="578"/>
      <c r="H220" s="505"/>
      <c r="I220" s="578">
        <f>E221</f>
        <v>56</v>
      </c>
      <c r="J220" s="429"/>
    </row>
    <row r="221" spans="1:10" s="11" customFormat="1" ht="66.75" customHeight="1" hidden="1">
      <c r="A221" s="621"/>
      <c r="B221" s="635"/>
      <c r="C221" s="579" t="s">
        <v>902</v>
      </c>
      <c r="D221" s="580" t="s">
        <v>11</v>
      </c>
      <c r="E221" s="581">
        <v>56</v>
      </c>
      <c r="F221" s="578"/>
      <c r="G221" s="581"/>
      <c r="H221" s="507"/>
      <c r="I221" s="578" t="s">
        <v>34</v>
      </c>
      <c r="J221" s="429"/>
    </row>
    <row r="222" spans="1:10" s="11" customFormat="1" ht="25.5" customHeight="1">
      <c r="A222" s="611" t="s">
        <v>34</v>
      </c>
      <c r="B222" s="611" t="s">
        <v>1017</v>
      </c>
      <c r="C222" s="700" t="s">
        <v>960</v>
      </c>
      <c r="D222" s="700"/>
      <c r="E222" s="700"/>
      <c r="F222" s="700"/>
      <c r="G222" s="701"/>
      <c r="H222" s="702"/>
      <c r="I222" s="700"/>
      <c r="J222" s="429"/>
    </row>
    <row r="223" spans="1:10" s="11" customFormat="1" ht="20.25" customHeight="1">
      <c r="A223" s="621" t="s">
        <v>1016</v>
      </c>
      <c r="B223" s="637" t="s">
        <v>959</v>
      </c>
      <c r="C223" s="576" t="s">
        <v>961</v>
      </c>
      <c r="D223" s="577" t="s">
        <v>11</v>
      </c>
      <c r="E223" s="578" t="s">
        <v>34</v>
      </c>
      <c r="F223" s="341">
        <f>I223</f>
        <v>97</v>
      </c>
      <c r="G223" s="578"/>
      <c r="H223" s="505"/>
      <c r="I223" s="578">
        <v>97</v>
      </c>
      <c r="J223" s="429"/>
    </row>
    <row r="224" spans="1:10" s="11" customFormat="1" ht="66.75" customHeight="1" hidden="1">
      <c r="A224" s="621"/>
      <c r="B224" s="635"/>
      <c r="C224" s="579" t="s">
        <v>962</v>
      </c>
      <c r="D224" s="580" t="s">
        <v>11</v>
      </c>
      <c r="E224" s="581">
        <v>97</v>
      </c>
      <c r="F224" s="578"/>
      <c r="G224" s="581"/>
      <c r="H224" s="507"/>
      <c r="I224" s="581" t="s">
        <v>34</v>
      </c>
      <c r="J224" s="429"/>
    </row>
    <row r="225" spans="1:10" s="11" customFormat="1" ht="66.75" customHeight="1" hidden="1">
      <c r="A225" s="621"/>
      <c r="B225" s="635"/>
      <c r="C225" s="703"/>
      <c r="D225" s="704"/>
      <c r="E225" s="705"/>
      <c r="F225" s="706"/>
      <c r="G225" s="705"/>
      <c r="H225" s="707"/>
      <c r="I225" s="705"/>
      <c r="J225" s="429"/>
    </row>
    <row r="226" spans="1:10" s="11" customFormat="1" ht="66.75" customHeight="1" hidden="1">
      <c r="A226" s="621"/>
      <c r="B226" s="635"/>
      <c r="C226" s="703"/>
      <c r="D226" s="704"/>
      <c r="E226" s="705"/>
      <c r="F226" s="706"/>
      <c r="G226" s="705"/>
      <c r="H226" s="707"/>
      <c r="I226" s="705"/>
      <c r="J226" s="429"/>
    </row>
    <row r="227" spans="1:11" s="11" customFormat="1" ht="20.25" customHeight="1">
      <c r="A227" s="844" t="s">
        <v>290</v>
      </c>
      <c r="B227" s="844"/>
      <c r="C227" s="844"/>
      <c r="D227" s="844"/>
      <c r="E227" s="844"/>
      <c r="F227" s="844"/>
      <c r="G227" s="844"/>
      <c r="H227" s="529"/>
      <c r="I227" s="705"/>
      <c r="J227" s="429"/>
      <c r="K227" s="655">
        <f>H227</f>
        <v>0</v>
      </c>
    </row>
    <row r="228" spans="1:10" s="11" customFormat="1" ht="40.5" customHeight="1">
      <c r="A228" s="610" t="s">
        <v>1027</v>
      </c>
      <c r="B228" s="610" t="s">
        <v>881</v>
      </c>
      <c r="C228" s="848" t="s">
        <v>882</v>
      </c>
      <c r="D228" s="848"/>
      <c r="E228" s="848"/>
      <c r="F228" s="848"/>
      <c r="G228" s="848"/>
      <c r="H228" s="848"/>
      <c r="I228" s="848"/>
      <c r="J228" s="429"/>
    </row>
    <row r="229" spans="1:10" s="11" customFormat="1" ht="22.5" customHeight="1">
      <c r="A229" s="611" t="s">
        <v>34</v>
      </c>
      <c r="B229" s="611" t="s">
        <v>883</v>
      </c>
      <c r="C229" s="814" t="s">
        <v>903</v>
      </c>
      <c r="D229" s="814" t="s">
        <v>8</v>
      </c>
      <c r="E229" s="814"/>
      <c r="F229" s="814"/>
      <c r="G229" s="814"/>
      <c r="H229" s="814"/>
      <c r="I229" s="814"/>
      <c r="J229" s="429"/>
    </row>
    <row r="230" spans="1:10" s="11" customFormat="1" ht="22.5">
      <c r="A230" s="708" t="s">
        <v>1018</v>
      </c>
      <c r="B230" s="639" t="s">
        <v>884</v>
      </c>
      <c r="C230" s="709" t="s">
        <v>981</v>
      </c>
      <c r="D230" s="577" t="s">
        <v>202</v>
      </c>
      <c r="E230" s="578" t="s">
        <v>34</v>
      </c>
      <c r="F230" s="341">
        <f>I230</f>
        <v>23.05</v>
      </c>
      <c r="G230" s="578"/>
      <c r="H230" s="505"/>
      <c r="I230" s="578">
        <f>E231</f>
        <v>23.05</v>
      </c>
      <c r="J230" s="429"/>
    </row>
    <row r="231" spans="1:10" s="11" customFormat="1" ht="66.75" customHeight="1" hidden="1" thickBot="1">
      <c r="A231" s="710"/>
      <c r="B231" s="710"/>
      <c r="C231" s="579" t="s">
        <v>904</v>
      </c>
      <c r="D231" s="604" t="s">
        <v>885</v>
      </c>
      <c r="E231" s="605">
        <f>22*3.8*0.17*1.2+20*1*0.3</f>
        <v>23.05</v>
      </c>
      <c r="F231" s="646"/>
      <c r="G231" s="605"/>
      <c r="H231" s="651"/>
      <c r="I231" s="105" t="s">
        <v>34</v>
      </c>
      <c r="J231" s="429"/>
    </row>
    <row r="232" spans="1:10" s="11" customFormat="1" ht="24.75" customHeight="1">
      <c r="A232" s="611" t="s">
        <v>34</v>
      </c>
      <c r="B232" s="611" t="s">
        <v>963</v>
      </c>
      <c r="C232" s="700" t="s">
        <v>964</v>
      </c>
      <c r="D232" s="711"/>
      <c r="E232" s="712"/>
      <c r="F232" s="713"/>
      <c r="G232" s="712"/>
      <c r="H232" s="714"/>
      <c r="I232" s="715"/>
      <c r="J232" s="429"/>
    </row>
    <row r="233" spans="1:10" s="11" customFormat="1" ht="20.25" customHeight="1">
      <c r="A233" s="716" t="s">
        <v>1019</v>
      </c>
      <c r="B233" s="608"/>
      <c r="C233" s="99" t="s">
        <v>965</v>
      </c>
      <c r="D233" s="97" t="s">
        <v>11</v>
      </c>
      <c r="E233" s="97" t="s">
        <v>34</v>
      </c>
      <c r="F233" s="341">
        <f>I233</f>
        <v>19</v>
      </c>
      <c r="G233" s="606"/>
      <c r="H233" s="505"/>
      <c r="I233" s="606">
        <v>19</v>
      </c>
      <c r="J233" s="429"/>
    </row>
    <row r="234" spans="1:10" s="11" customFormat="1" ht="84" customHeight="1" hidden="1">
      <c r="A234" s="710"/>
      <c r="B234" s="638"/>
      <c r="C234" s="579" t="s">
        <v>982</v>
      </c>
      <c r="D234" s="580" t="s">
        <v>11</v>
      </c>
      <c r="E234" s="581">
        <v>19</v>
      </c>
      <c r="F234" s="578"/>
      <c r="G234" s="581"/>
      <c r="H234" s="507"/>
      <c r="I234" s="581" t="s">
        <v>34</v>
      </c>
      <c r="J234" s="429"/>
    </row>
    <row r="235" spans="1:10" s="11" customFormat="1" ht="18.75" customHeight="1">
      <c r="A235" s="611" t="s">
        <v>34</v>
      </c>
      <c r="B235" s="611" t="s">
        <v>966</v>
      </c>
      <c r="C235" s="814" t="s">
        <v>967</v>
      </c>
      <c r="D235" s="814"/>
      <c r="E235" s="814"/>
      <c r="F235" s="814"/>
      <c r="G235" s="814"/>
      <c r="H235" s="814"/>
      <c r="I235" s="814"/>
      <c r="J235" s="429"/>
    </row>
    <row r="236" spans="1:10" s="11" customFormat="1" ht="27.75" customHeight="1">
      <c r="A236" s="716" t="s">
        <v>1020</v>
      </c>
      <c r="B236" s="637" t="s">
        <v>966</v>
      </c>
      <c r="C236" s="576" t="s">
        <v>968</v>
      </c>
      <c r="D236" s="577" t="s">
        <v>199</v>
      </c>
      <c r="E236" s="578" t="s">
        <v>34</v>
      </c>
      <c r="F236" s="341">
        <f>I236</f>
        <v>23</v>
      </c>
      <c r="G236" s="578"/>
      <c r="H236" s="505"/>
      <c r="I236" s="578">
        <v>23</v>
      </c>
      <c r="J236" s="429"/>
    </row>
    <row r="237" spans="1:10" s="11" customFormat="1" ht="84" customHeight="1" hidden="1">
      <c r="A237" s="710"/>
      <c r="B237" s="638"/>
      <c r="C237" s="579" t="s">
        <v>980</v>
      </c>
      <c r="D237" s="580" t="s">
        <v>200</v>
      </c>
      <c r="E237" s="581">
        <v>23</v>
      </c>
      <c r="F237" s="578"/>
      <c r="G237" s="581"/>
      <c r="H237" s="507"/>
      <c r="I237" s="581" t="s">
        <v>34</v>
      </c>
      <c r="J237" s="429"/>
    </row>
    <row r="238" spans="1:11" s="11" customFormat="1" ht="23.25" customHeight="1">
      <c r="A238" s="844" t="s">
        <v>1032</v>
      </c>
      <c r="B238" s="844"/>
      <c r="C238" s="844"/>
      <c r="D238" s="844"/>
      <c r="E238" s="844"/>
      <c r="F238" s="844"/>
      <c r="G238" s="844"/>
      <c r="H238" s="529"/>
      <c r="I238" s="581"/>
      <c r="J238" s="429"/>
      <c r="K238" s="655">
        <f>H238</f>
        <v>0</v>
      </c>
    </row>
    <row r="239" spans="1:11" s="11" customFormat="1" ht="23.25" customHeight="1">
      <c r="A239" s="846" t="s">
        <v>801</v>
      </c>
      <c r="B239" s="846"/>
      <c r="C239" s="846"/>
      <c r="D239" s="846"/>
      <c r="E239" s="846"/>
      <c r="F239" s="846"/>
      <c r="G239" s="846"/>
      <c r="H239" s="531"/>
      <c r="I239" s="581"/>
      <c r="J239" s="429"/>
      <c r="K239" s="655"/>
    </row>
    <row r="240" spans="1:10" s="11" customFormat="1" ht="46.5" customHeight="1">
      <c r="A240" s="609" t="s">
        <v>139</v>
      </c>
      <c r="B240" s="847" t="s">
        <v>905</v>
      </c>
      <c r="C240" s="852"/>
      <c r="D240" s="852"/>
      <c r="E240" s="852"/>
      <c r="F240" s="852"/>
      <c r="G240" s="852"/>
      <c r="H240" s="852"/>
      <c r="I240" s="852"/>
      <c r="J240" s="429"/>
    </row>
    <row r="241" spans="1:10" s="11" customFormat="1" ht="26.25">
      <c r="A241" s="610" t="s">
        <v>880</v>
      </c>
      <c r="B241" s="610" t="s">
        <v>906</v>
      </c>
      <c r="C241" s="848" t="s">
        <v>907</v>
      </c>
      <c r="D241" s="848"/>
      <c r="E241" s="848"/>
      <c r="F241" s="848"/>
      <c r="G241" s="848"/>
      <c r="H241" s="848"/>
      <c r="I241" s="848"/>
      <c r="J241" s="429"/>
    </row>
    <row r="242" spans="1:10" s="11" customFormat="1" ht="24" customHeight="1">
      <c r="A242" s="611" t="s">
        <v>34</v>
      </c>
      <c r="B242" s="611" t="s">
        <v>908</v>
      </c>
      <c r="C242" s="814" t="s">
        <v>909</v>
      </c>
      <c r="D242" s="814"/>
      <c r="E242" s="814"/>
      <c r="F242" s="814"/>
      <c r="G242" s="814"/>
      <c r="H242" s="814"/>
      <c r="I242" s="814"/>
      <c r="J242" s="429"/>
    </row>
    <row r="243" spans="1:10" s="11" customFormat="1" ht="34.5" customHeight="1">
      <c r="A243" s="608" t="s">
        <v>1021</v>
      </c>
      <c r="B243" s="623" t="s">
        <v>910</v>
      </c>
      <c r="C243" s="99" t="s">
        <v>912</v>
      </c>
      <c r="D243" s="97" t="s">
        <v>11</v>
      </c>
      <c r="E243" s="101" t="s">
        <v>34</v>
      </c>
      <c r="F243" s="341">
        <f>I243</f>
        <v>22</v>
      </c>
      <c r="G243" s="101"/>
      <c r="H243" s="505"/>
      <c r="I243" s="101">
        <f>SUM(E244)</f>
        <v>22</v>
      </c>
      <c r="J243" s="429"/>
    </row>
    <row r="244" spans="1:10" s="11" customFormat="1" ht="82.5" customHeight="1" hidden="1">
      <c r="A244" s="607"/>
      <c r="B244" s="607"/>
      <c r="C244" s="90" t="s">
        <v>911</v>
      </c>
      <c r="D244" s="91" t="s">
        <v>11</v>
      </c>
      <c r="E244" s="92">
        <v>22</v>
      </c>
      <c r="F244" s="100"/>
      <c r="G244" s="92"/>
      <c r="H244" s="505"/>
      <c r="I244" s="92" t="s">
        <v>34</v>
      </c>
      <c r="J244" s="429"/>
    </row>
    <row r="245" spans="1:10" s="11" customFormat="1" ht="66.75" customHeight="1" hidden="1">
      <c r="A245" s="608"/>
      <c r="B245" s="623"/>
      <c r="C245" s="99"/>
      <c r="D245" s="97"/>
      <c r="E245" s="101"/>
      <c r="F245" s="101"/>
      <c r="G245" s="101"/>
      <c r="H245" s="507"/>
      <c r="I245" s="101"/>
      <c r="J245" s="429"/>
    </row>
    <row r="246" spans="1:10" s="11" customFormat="1" ht="66.75" customHeight="1" hidden="1">
      <c r="A246" s="628"/>
      <c r="B246" s="628"/>
      <c r="C246" s="90"/>
      <c r="D246" s="91"/>
      <c r="E246" s="92"/>
      <c r="F246" s="100"/>
      <c r="G246" s="92"/>
      <c r="H246" s="505"/>
      <c r="I246" s="92"/>
      <c r="J246" s="429"/>
    </row>
    <row r="247" spans="1:10" s="11" customFormat="1" ht="66.75" customHeight="1" hidden="1">
      <c r="A247" s="621"/>
      <c r="B247" s="635"/>
      <c r="C247" s="579"/>
      <c r="D247" s="580"/>
      <c r="E247" s="581"/>
      <c r="F247" s="578"/>
      <c r="G247" s="581"/>
      <c r="H247" s="507"/>
      <c r="I247" s="578"/>
      <c r="J247" s="429"/>
    </row>
    <row r="248" spans="1:10" s="11" customFormat="1" ht="15">
      <c r="A248" s="844" t="s">
        <v>1035</v>
      </c>
      <c r="B248" s="844"/>
      <c r="C248" s="844"/>
      <c r="D248" s="844"/>
      <c r="E248" s="844"/>
      <c r="F248" s="844"/>
      <c r="G248" s="844"/>
      <c r="H248" s="529"/>
      <c r="I248" s="578"/>
      <c r="J248" s="429"/>
    </row>
    <row r="249" spans="1:10" s="11" customFormat="1" ht="15">
      <c r="A249" s="846" t="s">
        <v>1034</v>
      </c>
      <c r="B249" s="846"/>
      <c r="C249" s="846"/>
      <c r="D249" s="846"/>
      <c r="E249" s="846"/>
      <c r="F249" s="846"/>
      <c r="G249" s="846"/>
      <c r="H249" s="531"/>
      <c r="I249" s="578"/>
      <c r="J249" s="429"/>
    </row>
    <row r="250" spans="1:16" s="154" customFormat="1" ht="37.5" customHeight="1">
      <c r="A250" s="609" t="s">
        <v>784</v>
      </c>
      <c r="B250" s="847" t="s">
        <v>780</v>
      </c>
      <c r="C250" s="847"/>
      <c r="D250" s="847"/>
      <c r="E250" s="847"/>
      <c r="F250" s="847"/>
      <c r="G250" s="847"/>
      <c r="H250" s="847"/>
      <c r="I250" s="847"/>
      <c r="O250" s="49"/>
      <c r="P250" s="49"/>
    </row>
    <row r="251" spans="1:16" s="154" customFormat="1" ht="25.5" customHeight="1">
      <c r="A251" s="610" t="s">
        <v>211</v>
      </c>
      <c r="B251" s="610" t="s">
        <v>781</v>
      </c>
      <c r="C251" s="816" t="s">
        <v>782</v>
      </c>
      <c r="D251" s="816"/>
      <c r="E251" s="816"/>
      <c r="F251" s="816"/>
      <c r="G251" s="816"/>
      <c r="H251" s="816"/>
      <c r="I251" s="816"/>
      <c r="O251" s="49"/>
      <c r="P251" s="49"/>
    </row>
    <row r="252" spans="1:16" s="154" customFormat="1" ht="20.25" customHeight="1">
      <c r="A252" s="615" t="s">
        <v>1022</v>
      </c>
      <c r="B252" s="97" t="s">
        <v>1046</v>
      </c>
      <c r="C252" s="136" t="s">
        <v>1044</v>
      </c>
      <c r="D252" s="659" t="s">
        <v>9</v>
      </c>
      <c r="E252" s="660" t="s">
        <v>34</v>
      </c>
      <c r="F252" s="578">
        <f>E253</f>
        <v>4</v>
      </c>
      <c r="G252" s="110"/>
      <c r="H252" s="507"/>
      <c r="I252" s="110">
        <f>E253</f>
        <v>4</v>
      </c>
      <c r="O252" s="49"/>
      <c r="P252" s="49"/>
    </row>
    <row r="253" spans="1:16" s="154" customFormat="1" ht="34.5" customHeight="1" hidden="1">
      <c r="A253" s="615" t="s">
        <v>8</v>
      </c>
      <c r="B253" s="638"/>
      <c r="C253" s="579" t="s">
        <v>1045</v>
      </c>
      <c r="D253" s="594" t="s">
        <v>9</v>
      </c>
      <c r="E253" s="661">
        <v>4</v>
      </c>
      <c r="F253" s="662" t="s">
        <v>34</v>
      </c>
      <c r="G253" s="107"/>
      <c r="H253" s="507"/>
      <c r="I253" s="107" t="s">
        <v>34</v>
      </c>
      <c r="O253" s="49"/>
      <c r="P253" s="49"/>
    </row>
    <row r="254" spans="1:16" s="154" customFormat="1" ht="15">
      <c r="A254" s="844" t="s">
        <v>1036</v>
      </c>
      <c r="B254" s="844"/>
      <c r="C254" s="844"/>
      <c r="D254" s="844"/>
      <c r="E254" s="844"/>
      <c r="F254" s="844"/>
      <c r="G254" s="844"/>
      <c r="H254" s="529"/>
      <c r="I254" s="107"/>
      <c r="O254" s="49"/>
      <c r="P254" s="49"/>
    </row>
    <row r="255" spans="1:16" s="154" customFormat="1" ht="26.25" customHeight="1" hidden="1">
      <c r="A255" s="846" t="s">
        <v>1034</v>
      </c>
      <c r="B255" s="846"/>
      <c r="C255" s="846"/>
      <c r="D255" s="846"/>
      <c r="E255" s="846"/>
      <c r="F255" s="846"/>
      <c r="G255" s="846"/>
      <c r="H255" s="531"/>
      <c r="I255" s="107"/>
      <c r="K255" s="726">
        <f>H255</f>
        <v>0</v>
      </c>
      <c r="O255" s="49"/>
      <c r="P255" s="49"/>
    </row>
    <row r="256" spans="1:16" s="154" customFormat="1" ht="26.25" customHeight="1">
      <c r="A256" s="846" t="s">
        <v>1047</v>
      </c>
      <c r="B256" s="846"/>
      <c r="C256" s="846"/>
      <c r="D256" s="846"/>
      <c r="E256" s="846"/>
      <c r="F256" s="846"/>
      <c r="G256" s="846"/>
      <c r="H256" s="531"/>
      <c r="I256" s="107"/>
      <c r="K256" s="726"/>
      <c r="O256" s="49"/>
      <c r="P256" s="49"/>
    </row>
    <row r="257" spans="1:16" s="154" customFormat="1" ht="31.5" customHeight="1">
      <c r="A257" s="609" t="s">
        <v>1029</v>
      </c>
      <c r="B257" s="847" t="s">
        <v>989</v>
      </c>
      <c r="C257" s="847"/>
      <c r="D257" s="847"/>
      <c r="E257" s="847"/>
      <c r="F257" s="847"/>
      <c r="G257" s="847"/>
      <c r="H257" s="847"/>
      <c r="I257" s="847"/>
      <c r="O257" s="49"/>
      <c r="P257" s="49"/>
    </row>
    <row r="258" spans="1:16" s="154" customFormat="1" ht="38.25" customHeight="1">
      <c r="A258" s="610" t="s">
        <v>1028</v>
      </c>
      <c r="B258" s="610" t="s">
        <v>785</v>
      </c>
      <c r="C258" s="816" t="s">
        <v>786</v>
      </c>
      <c r="D258" s="816"/>
      <c r="E258" s="816"/>
      <c r="F258" s="816"/>
      <c r="G258" s="816"/>
      <c r="H258" s="816"/>
      <c r="I258" s="816"/>
      <c r="O258" s="49"/>
      <c r="P258" s="49"/>
    </row>
    <row r="259" spans="1:254" s="154" customFormat="1" ht="18.75" customHeight="1">
      <c r="A259" s="640" t="s">
        <v>34</v>
      </c>
      <c r="B259" s="640" t="s">
        <v>935</v>
      </c>
      <c r="C259" s="871" t="s">
        <v>936</v>
      </c>
      <c r="D259" s="871"/>
      <c r="E259" s="871"/>
      <c r="F259" s="871"/>
      <c r="G259" s="871"/>
      <c r="H259" s="871"/>
      <c r="I259" s="871"/>
      <c r="J259" s="874"/>
      <c r="K259" s="874"/>
      <c r="L259" s="874"/>
      <c r="M259" s="874"/>
      <c r="N259" s="874"/>
      <c r="O259" s="596"/>
      <c r="P259" s="596"/>
      <c r="Q259" s="874"/>
      <c r="R259" s="874"/>
      <c r="S259" s="874"/>
      <c r="T259" s="874"/>
      <c r="U259" s="874"/>
      <c r="V259" s="874"/>
      <c r="W259" s="596"/>
      <c r="X259" s="596"/>
      <c r="Y259" s="874"/>
      <c r="Z259" s="874"/>
      <c r="AA259" s="874"/>
      <c r="AB259" s="874"/>
      <c r="AC259" s="874"/>
      <c r="AD259" s="874"/>
      <c r="AE259" s="596"/>
      <c r="AF259" s="596"/>
      <c r="AG259" s="874"/>
      <c r="AH259" s="874"/>
      <c r="AI259" s="874"/>
      <c r="AJ259" s="874"/>
      <c r="AK259" s="874"/>
      <c r="AL259" s="874"/>
      <c r="AM259" s="596"/>
      <c r="AN259" s="596"/>
      <c r="AO259" s="874"/>
      <c r="AP259" s="874"/>
      <c r="AQ259" s="874"/>
      <c r="AR259" s="874"/>
      <c r="AS259" s="874"/>
      <c r="AT259" s="874"/>
      <c r="AU259" s="596"/>
      <c r="AV259" s="596"/>
      <c r="AW259" s="874"/>
      <c r="AX259" s="874"/>
      <c r="AY259" s="874"/>
      <c r="AZ259" s="874"/>
      <c r="BA259" s="874"/>
      <c r="BB259" s="874"/>
      <c r="BC259" s="596"/>
      <c r="BD259" s="596"/>
      <c r="BE259" s="874"/>
      <c r="BF259" s="874"/>
      <c r="BG259" s="874"/>
      <c r="BH259" s="874"/>
      <c r="BI259" s="874"/>
      <c r="BJ259" s="874"/>
      <c r="BK259" s="596"/>
      <c r="BL259" s="596"/>
      <c r="BM259" s="874"/>
      <c r="BN259" s="874"/>
      <c r="BO259" s="874"/>
      <c r="BP259" s="874"/>
      <c r="BQ259" s="874"/>
      <c r="BR259" s="874"/>
      <c r="BS259" s="596"/>
      <c r="BT259" s="596"/>
      <c r="BU259" s="874"/>
      <c r="BV259" s="874"/>
      <c r="BW259" s="874"/>
      <c r="BX259" s="874"/>
      <c r="BY259" s="874"/>
      <c r="BZ259" s="874"/>
      <c r="CA259" s="596"/>
      <c r="CB259" s="596"/>
      <c r="CC259" s="874"/>
      <c r="CD259" s="874"/>
      <c r="CE259" s="874"/>
      <c r="CF259" s="874"/>
      <c r="CG259" s="874"/>
      <c r="CH259" s="874"/>
      <c r="CI259" s="596"/>
      <c r="CJ259" s="596"/>
      <c r="CK259" s="874"/>
      <c r="CL259" s="874"/>
      <c r="CM259" s="874"/>
      <c r="CN259" s="874"/>
      <c r="CO259" s="874"/>
      <c r="CP259" s="874"/>
      <c r="CQ259" s="596"/>
      <c r="CR259" s="596"/>
      <c r="CS259" s="874"/>
      <c r="CT259" s="874"/>
      <c r="CU259" s="874"/>
      <c r="CV259" s="874"/>
      <c r="CW259" s="874"/>
      <c r="CX259" s="874"/>
      <c r="CY259" s="596"/>
      <c r="CZ259" s="596"/>
      <c r="DA259" s="874"/>
      <c r="DB259" s="874"/>
      <c r="DC259" s="874"/>
      <c r="DD259" s="874"/>
      <c r="DE259" s="874"/>
      <c r="DF259" s="874"/>
      <c r="DG259" s="596"/>
      <c r="DH259" s="596"/>
      <c r="DI259" s="874"/>
      <c r="DJ259" s="874"/>
      <c r="DK259" s="874"/>
      <c r="DL259" s="874"/>
      <c r="DM259" s="874"/>
      <c r="DN259" s="874"/>
      <c r="DO259" s="596"/>
      <c r="DP259" s="596"/>
      <c r="DQ259" s="874"/>
      <c r="DR259" s="874"/>
      <c r="DS259" s="874"/>
      <c r="DT259" s="874"/>
      <c r="DU259" s="874"/>
      <c r="DV259" s="874"/>
      <c r="DW259" s="596"/>
      <c r="DX259" s="596"/>
      <c r="DY259" s="874"/>
      <c r="DZ259" s="874"/>
      <c r="EA259" s="874"/>
      <c r="EB259" s="874"/>
      <c r="EC259" s="874"/>
      <c r="ED259" s="874"/>
      <c r="EE259" s="596"/>
      <c r="EF259" s="596"/>
      <c r="EG259" s="874"/>
      <c r="EH259" s="874"/>
      <c r="EI259" s="874"/>
      <c r="EJ259" s="874"/>
      <c r="EK259" s="874"/>
      <c r="EL259" s="874"/>
      <c r="EM259" s="596"/>
      <c r="EN259" s="596"/>
      <c r="EO259" s="874"/>
      <c r="EP259" s="874"/>
      <c r="EQ259" s="874"/>
      <c r="ER259" s="874"/>
      <c r="ES259" s="874"/>
      <c r="ET259" s="874"/>
      <c r="EU259" s="596"/>
      <c r="EV259" s="596"/>
      <c r="EW259" s="874"/>
      <c r="EX259" s="874"/>
      <c r="EY259" s="874"/>
      <c r="EZ259" s="874"/>
      <c r="FA259" s="874"/>
      <c r="FB259" s="874"/>
      <c r="FC259" s="596"/>
      <c r="FD259" s="596"/>
      <c r="FE259" s="874"/>
      <c r="FF259" s="874"/>
      <c r="FG259" s="874"/>
      <c r="FH259" s="874"/>
      <c r="FI259" s="874"/>
      <c r="FJ259" s="874"/>
      <c r="FK259" s="596"/>
      <c r="FL259" s="596"/>
      <c r="FM259" s="874"/>
      <c r="FN259" s="874"/>
      <c r="FO259" s="874"/>
      <c r="FP259" s="874"/>
      <c r="FQ259" s="874"/>
      <c r="FR259" s="874"/>
      <c r="FS259" s="596"/>
      <c r="FT259" s="596"/>
      <c r="FU259" s="874"/>
      <c r="FV259" s="874"/>
      <c r="FW259" s="874"/>
      <c r="FX259" s="874"/>
      <c r="FY259" s="874"/>
      <c r="FZ259" s="874"/>
      <c r="GA259" s="596"/>
      <c r="GB259" s="596"/>
      <c r="GC259" s="874"/>
      <c r="GD259" s="874"/>
      <c r="GE259" s="874"/>
      <c r="GF259" s="874"/>
      <c r="GG259" s="874"/>
      <c r="GH259" s="874"/>
      <c r="GI259" s="596"/>
      <c r="GJ259" s="596"/>
      <c r="GK259" s="874"/>
      <c r="GL259" s="874"/>
      <c r="GM259" s="874"/>
      <c r="GN259" s="874"/>
      <c r="GO259" s="874"/>
      <c r="GP259" s="874"/>
      <c r="GQ259" s="596"/>
      <c r="GR259" s="596"/>
      <c r="GS259" s="874"/>
      <c r="GT259" s="874"/>
      <c r="GU259" s="874"/>
      <c r="GV259" s="874"/>
      <c r="GW259" s="874"/>
      <c r="GX259" s="874"/>
      <c r="GY259" s="596"/>
      <c r="GZ259" s="596"/>
      <c r="HA259" s="874"/>
      <c r="HB259" s="874"/>
      <c r="HC259" s="874"/>
      <c r="HD259" s="874"/>
      <c r="HE259" s="874"/>
      <c r="HF259" s="874"/>
      <c r="HG259" s="596"/>
      <c r="HH259" s="596"/>
      <c r="HI259" s="874"/>
      <c r="HJ259" s="874"/>
      <c r="HK259" s="874"/>
      <c r="HL259" s="874"/>
      <c r="HM259" s="874"/>
      <c r="HN259" s="874"/>
      <c r="HO259" s="596"/>
      <c r="HP259" s="596"/>
      <c r="HQ259" s="874"/>
      <c r="HR259" s="874"/>
      <c r="HS259" s="874"/>
      <c r="HT259" s="874"/>
      <c r="HU259" s="874"/>
      <c r="HV259" s="874"/>
      <c r="HW259" s="596"/>
      <c r="HX259" s="596"/>
      <c r="HY259" s="874"/>
      <c r="HZ259" s="874"/>
      <c r="IA259" s="874"/>
      <c r="IB259" s="874"/>
      <c r="IC259" s="874"/>
      <c r="ID259" s="874"/>
      <c r="IE259" s="596"/>
      <c r="IF259" s="596"/>
      <c r="IG259" s="874"/>
      <c r="IH259" s="874"/>
      <c r="II259" s="874"/>
      <c r="IJ259" s="874"/>
      <c r="IK259" s="874"/>
      <c r="IL259" s="874"/>
      <c r="IM259" s="596"/>
      <c r="IN259" s="596"/>
      <c r="IO259" s="874"/>
      <c r="IP259" s="874"/>
      <c r="IQ259" s="874"/>
      <c r="IR259" s="874"/>
      <c r="IS259" s="874"/>
      <c r="IT259" s="874"/>
    </row>
    <row r="260" spans="1:254" s="154" customFormat="1" ht="18.75" customHeight="1" hidden="1">
      <c r="A260" s="640"/>
      <c r="B260" s="640"/>
      <c r="C260" s="686"/>
      <c r="D260" s="686"/>
      <c r="E260" s="686"/>
      <c r="F260" s="686"/>
      <c r="G260" s="656"/>
      <c r="H260" s="652"/>
      <c r="I260" s="686"/>
      <c r="J260" s="689"/>
      <c r="K260" s="689"/>
      <c r="L260" s="689"/>
      <c r="M260" s="689"/>
      <c r="N260" s="689"/>
      <c r="O260" s="596"/>
      <c r="P260" s="596"/>
      <c r="Q260" s="643"/>
      <c r="R260" s="643"/>
      <c r="S260" s="643"/>
      <c r="T260" s="643"/>
      <c r="U260" s="643"/>
      <c r="V260" s="643"/>
      <c r="W260" s="596"/>
      <c r="X260" s="596"/>
      <c r="Y260" s="643"/>
      <c r="Z260" s="643"/>
      <c r="AA260" s="643"/>
      <c r="AB260" s="643"/>
      <c r="AC260" s="643"/>
      <c r="AD260" s="643"/>
      <c r="AE260" s="596"/>
      <c r="AF260" s="596"/>
      <c r="AG260" s="643"/>
      <c r="AH260" s="643"/>
      <c r="AI260" s="643"/>
      <c r="AJ260" s="643"/>
      <c r="AK260" s="643"/>
      <c r="AL260" s="643"/>
      <c r="AM260" s="596"/>
      <c r="AN260" s="596"/>
      <c r="AO260" s="643"/>
      <c r="AP260" s="643"/>
      <c r="AQ260" s="643"/>
      <c r="AR260" s="643"/>
      <c r="AS260" s="643"/>
      <c r="AT260" s="643"/>
      <c r="AU260" s="596"/>
      <c r="AV260" s="596"/>
      <c r="AW260" s="643"/>
      <c r="AX260" s="643"/>
      <c r="AY260" s="643"/>
      <c r="AZ260" s="643"/>
      <c r="BA260" s="643"/>
      <c r="BB260" s="643"/>
      <c r="BC260" s="596"/>
      <c r="BD260" s="596"/>
      <c r="BE260" s="643"/>
      <c r="BF260" s="643"/>
      <c r="BG260" s="643"/>
      <c r="BH260" s="643"/>
      <c r="BI260" s="643"/>
      <c r="BJ260" s="643"/>
      <c r="BK260" s="596"/>
      <c r="BL260" s="596"/>
      <c r="BM260" s="643"/>
      <c r="BN260" s="643"/>
      <c r="BO260" s="643"/>
      <c r="BP260" s="643"/>
      <c r="BQ260" s="643"/>
      <c r="BR260" s="643"/>
      <c r="BS260" s="596"/>
      <c r="BT260" s="596"/>
      <c r="BU260" s="643"/>
      <c r="BV260" s="643"/>
      <c r="BW260" s="643"/>
      <c r="BX260" s="643"/>
      <c r="BY260" s="643"/>
      <c r="BZ260" s="643"/>
      <c r="CA260" s="596"/>
      <c r="CB260" s="596"/>
      <c r="CC260" s="643"/>
      <c r="CD260" s="643"/>
      <c r="CE260" s="643"/>
      <c r="CF260" s="643"/>
      <c r="CG260" s="643"/>
      <c r="CH260" s="643"/>
      <c r="CI260" s="596"/>
      <c r="CJ260" s="596"/>
      <c r="CK260" s="643"/>
      <c r="CL260" s="643"/>
      <c r="CM260" s="643"/>
      <c r="CN260" s="643"/>
      <c r="CO260" s="643"/>
      <c r="CP260" s="643"/>
      <c r="CQ260" s="596"/>
      <c r="CR260" s="596"/>
      <c r="CS260" s="643"/>
      <c r="CT260" s="643"/>
      <c r="CU260" s="643"/>
      <c r="CV260" s="643"/>
      <c r="CW260" s="643"/>
      <c r="CX260" s="643"/>
      <c r="CY260" s="596"/>
      <c r="CZ260" s="596"/>
      <c r="DA260" s="643"/>
      <c r="DB260" s="643"/>
      <c r="DC260" s="643"/>
      <c r="DD260" s="643"/>
      <c r="DE260" s="643"/>
      <c r="DF260" s="643"/>
      <c r="DG260" s="596"/>
      <c r="DH260" s="596"/>
      <c r="DI260" s="643"/>
      <c r="DJ260" s="643"/>
      <c r="DK260" s="643"/>
      <c r="DL260" s="643"/>
      <c r="DM260" s="643"/>
      <c r="DN260" s="643"/>
      <c r="DO260" s="596"/>
      <c r="DP260" s="596"/>
      <c r="DQ260" s="643"/>
      <c r="DR260" s="643"/>
      <c r="DS260" s="643"/>
      <c r="DT260" s="643"/>
      <c r="DU260" s="643"/>
      <c r="DV260" s="643"/>
      <c r="DW260" s="596"/>
      <c r="DX260" s="596"/>
      <c r="DY260" s="643"/>
      <c r="DZ260" s="643"/>
      <c r="EA260" s="643"/>
      <c r="EB260" s="643"/>
      <c r="EC260" s="643"/>
      <c r="ED260" s="643"/>
      <c r="EE260" s="596"/>
      <c r="EF260" s="596"/>
      <c r="EG260" s="643"/>
      <c r="EH260" s="643"/>
      <c r="EI260" s="643"/>
      <c r="EJ260" s="643"/>
      <c r="EK260" s="643"/>
      <c r="EL260" s="643"/>
      <c r="EM260" s="596"/>
      <c r="EN260" s="596"/>
      <c r="EO260" s="643"/>
      <c r="EP260" s="643"/>
      <c r="EQ260" s="643"/>
      <c r="ER260" s="643"/>
      <c r="ES260" s="643"/>
      <c r="ET260" s="643"/>
      <c r="EU260" s="596"/>
      <c r="EV260" s="596"/>
      <c r="EW260" s="643"/>
      <c r="EX260" s="643"/>
      <c r="EY260" s="643"/>
      <c r="EZ260" s="643"/>
      <c r="FA260" s="643"/>
      <c r="FB260" s="643"/>
      <c r="FC260" s="596"/>
      <c r="FD260" s="596"/>
      <c r="FE260" s="643"/>
      <c r="FF260" s="643"/>
      <c r="FG260" s="643"/>
      <c r="FH260" s="643"/>
      <c r="FI260" s="643"/>
      <c r="FJ260" s="643"/>
      <c r="FK260" s="596"/>
      <c r="FL260" s="596"/>
      <c r="FM260" s="643"/>
      <c r="FN260" s="643"/>
      <c r="FO260" s="643"/>
      <c r="FP260" s="643"/>
      <c r="FQ260" s="643"/>
      <c r="FR260" s="643"/>
      <c r="FS260" s="596"/>
      <c r="FT260" s="596"/>
      <c r="FU260" s="643"/>
      <c r="FV260" s="643"/>
      <c r="FW260" s="643"/>
      <c r="FX260" s="643"/>
      <c r="FY260" s="643"/>
      <c r="FZ260" s="643"/>
      <c r="GA260" s="596"/>
      <c r="GB260" s="596"/>
      <c r="GC260" s="643"/>
      <c r="GD260" s="643"/>
      <c r="GE260" s="643"/>
      <c r="GF260" s="643"/>
      <c r="GG260" s="643"/>
      <c r="GH260" s="643"/>
      <c r="GI260" s="596"/>
      <c r="GJ260" s="596"/>
      <c r="GK260" s="643"/>
      <c r="GL260" s="643"/>
      <c r="GM260" s="643"/>
      <c r="GN260" s="643"/>
      <c r="GO260" s="643"/>
      <c r="GP260" s="643"/>
      <c r="GQ260" s="596"/>
      <c r="GR260" s="596"/>
      <c r="GS260" s="643"/>
      <c r="GT260" s="643"/>
      <c r="GU260" s="643"/>
      <c r="GV260" s="643"/>
      <c r="GW260" s="643"/>
      <c r="GX260" s="643"/>
      <c r="GY260" s="596"/>
      <c r="GZ260" s="596"/>
      <c r="HA260" s="643"/>
      <c r="HB260" s="643"/>
      <c r="HC260" s="643"/>
      <c r="HD260" s="643"/>
      <c r="HE260" s="643"/>
      <c r="HF260" s="643"/>
      <c r="HG260" s="596"/>
      <c r="HH260" s="596"/>
      <c r="HI260" s="643"/>
      <c r="HJ260" s="643"/>
      <c r="HK260" s="643"/>
      <c r="HL260" s="643"/>
      <c r="HM260" s="643"/>
      <c r="HN260" s="643"/>
      <c r="HO260" s="596"/>
      <c r="HP260" s="596"/>
      <c r="HQ260" s="643"/>
      <c r="HR260" s="643"/>
      <c r="HS260" s="643"/>
      <c r="HT260" s="643"/>
      <c r="HU260" s="643"/>
      <c r="HV260" s="643"/>
      <c r="HW260" s="596"/>
      <c r="HX260" s="596"/>
      <c r="HY260" s="643"/>
      <c r="HZ260" s="643"/>
      <c r="IA260" s="643"/>
      <c r="IB260" s="643"/>
      <c r="IC260" s="643"/>
      <c r="ID260" s="643"/>
      <c r="IE260" s="596"/>
      <c r="IF260" s="596"/>
      <c r="IG260" s="643"/>
      <c r="IH260" s="643"/>
      <c r="II260" s="643"/>
      <c r="IJ260" s="643"/>
      <c r="IK260" s="643"/>
      <c r="IL260" s="643"/>
      <c r="IM260" s="596"/>
      <c r="IN260" s="596"/>
      <c r="IO260" s="643"/>
      <c r="IP260" s="643"/>
      <c r="IQ260" s="643"/>
      <c r="IR260" s="643"/>
      <c r="IS260" s="643"/>
      <c r="IT260" s="643"/>
    </row>
    <row r="261" spans="1:16" s="154" customFormat="1" ht="21" customHeight="1">
      <c r="A261" s="615" t="s">
        <v>1023</v>
      </c>
      <c r="B261" s="631" t="s">
        <v>1031</v>
      </c>
      <c r="C261" s="139" t="s">
        <v>938</v>
      </c>
      <c r="D261" s="109" t="s">
        <v>9</v>
      </c>
      <c r="E261" s="110" t="s">
        <v>34</v>
      </c>
      <c r="F261" s="341">
        <f>I261</f>
        <v>2</v>
      </c>
      <c r="G261" s="110"/>
      <c r="H261" s="505"/>
      <c r="I261" s="110">
        <f>E262</f>
        <v>2</v>
      </c>
      <c r="O261" s="49"/>
      <c r="P261" s="49"/>
    </row>
    <row r="262" spans="1:16" s="154" customFormat="1" ht="76.5" customHeight="1" hidden="1">
      <c r="A262" s="615" t="s">
        <v>8</v>
      </c>
      <c r="B262" s="638"/>
      <c r="C262" s="138" t="s">
        <v>937</v>
      </c>
      <c r="D262" s="109" t="s">
        <v>9</v>
      </c>
      <c r="E262" s="107">
        <v>2</v>
      </c>
      <c r="F262" s="341" t="str">
        <f>I262</f>
        <v>x</v>
      </c>
      <c r="G262" s="107"/>
      <c r="H262" s="505"/>
      <c r="I262" s="107" t="s">
        <v>34</v>
      </c>
      <c r="O262" s="49"/>
      <c r="P262" s="49"/>
    </row>
    <row r="263" spans="1:16" s="154" customFormat="1" ht="26.25">
      <c r="A263" s="663" t="s">
        <v>1024</v>
      </c>
      <c r="B263" s="641" t="s">
        <v>920</v>
      </c>
      <c r="C263" s="585" t="s">
        <v>918</v>
      </c>
      <c r="D263" s="577" t="s">
        <v>202</v>
      </c>
      <c r="E263" s="87" t="s">
        <v>34</v>
      </c>
      <c r="F263" s="341">
        <f>I263</f>
        <v>14.04</v>
      </c>
      <c r="G263" s="606"/>
      <c r="H263" s="505"/>
      <c r="I263" s="106">
        <f>E264</f>
        <v>14.04</v>
      </c>
      <c r="O263" s="49"/>
      <c r="P263" s="49"/>
    </row>
    <row r="264" spans="1:16" s="154" customFormat="1" ht="76.5" customHeight="1" hidden="1">
      <c r="A264" s="613"/>
      <c r="B264" s="688" t="s">
        <v>919</v>
      </c>
      <c r="C264" s="588" t="s">
        <v>939</v>
      </c>
      <c r="D264" s="580" t="s">
        <v>11</v>
      </c>
      <c r="E264" s="589">
        <v>14.04</v>
      </c>
      <c r="F264" s="341" t="str">
        <f>I264</f>
        <v>x</v>
      </c>
      <c r="G264" s="589"/>
      <c r="H264" s="505"/>
      <c r="I264" s="131" t="s">
        <v>34</v>
      </c>
      <c r="O264" s="49"/>
      <c r="P264" s="49"/>
    </row>
    <row r="265" spans="1:16" s="154" customFormat="1" ht="26.25">
      <c r="A265" s="663" t="s">
        <v>1025</v>
      </c>
      <c r="B265" s="641" t="s">
        <v>920</v>
      </c>
      <c r="C265" s="585" t="s">
        <v>921</v>
      </c>
      <c r="D265" s="87" t="s">
        <v>771</v>
      </c>
      <c r="E265" s="124" t="s">
        <v>34</v>
      </c>
      <c r="F265" s="341">
        <f>I265</f>
        <v>10</v>
      </c>
      <c r="G265" s="124"/>
      <c r="H265" s="505"/>
      <c r="I265" s="106">
        <f>E266</f>
        <v>10</v>
      </c>
      <c r="O265" s="49"/>
      <c r="P265" s="49"/>
    </row>
    <row r="266" spans="1:16" s="154" customFormat="1" ht="37.5" customHeight="1" hidden="1">
      <c r="A266" s="687"/>
      <c r="B266" s="688" t="s">
        <v>922</v>
      </c>
      <c r="C266" s="588" t="s">
        <v>940</v>
      </c>
      <c r="D266" s="587" t="s">
        <v>11</v>
      </c>
      <c r="E266" s="590">
        <v>10</v>
      </c>
      <c r="F266" s="647"/>
      <c r="G266" s="657"/>
      <c r="H266" s="653"/>
      <c r="I266" s="587" t="s">
        <v>34</v>
      </c>
      <c r="O266" s="49"/>
      <c r="P266" s="49"/>
    </row>
    <row r="267" spans="1:16" s="154" customFormat="1" ht="39" hidden="1">
      <c r="A267" s="687"/>
      <c r="B267" s="688" t="s">
        <v>923</v>
      </c>
      <c r="C267" s="588" t="s">
        <v>941</v>
      </c>
      <c r="D267" s="591" t="s">
        <v>11</v>
      </c>
      <c r="E267" s="492">
        <v>10</v>
      </c>
      <c r="F267" s="124"/>
      <c r="G267" s="492"/>
      <c r="H267" s="507"/>
      <c r="I267" s="131" t="s">
        <v>34</v>
      </c>
      <c r="O267" s="49"/>
      <c r="P267" s="49"/>
    </row>
    <row r="268" spans="1:16" s="154" customFormat="1" ht="35.25" customHeight="1" hidden="1">
      <c r="A268" s="615"/>
      <c r="B268" s="638"/>
      <c r="C268" s="598" t="s">
        <v>925</v>
      </c>
      <c r="D268" s="111" t="s">
        <v>771</v>
      </c>
      <c r="E268" s="107">
        <v>2</v>
      </c>
      <c r="F268" s="110"/>
      <c r="G268" s="107"/>
      <c r="H268" s="507"/>
      <c r="I268" s="107"/>
      <c r="O268" s="49"/>
      <c r="P268" s="49"/>
    </row>
    <row r="269" spans="1:16" s="154" customFormat="1" ht="39" hidden="1">
      <c r="A269" s="615"/>
      <c r="B269" s="638"/>
      <c r="C269" s="599" t="s">
        <v>942</v>
      </c>
      <c r="D269" s="111" t="s">
        <v>11</v>
      </c>
      <c r="E269" s="107">
        <v>10</v>
      </c>
      <c r="F269" s="110"/>
      <c r="G269" s="107"/>
      <c r="H269" s="507"/>
      <c r="I269" s="107"/>
      <c r="O269" s="49"/>
      <c r="P269" s="49"/>
    </row>
    <row r="270" spans="1:16" s="154" customFormat="1" ht="26.25" hidden="1">
      <c r="A270" s="615"/>
      <c r="B270" s="638"/>
      <c r="C270" s="599" t="s">
        <v>944</v>
      </c>
      <c r="D270" s="111" t="s">
        <v>9</v>
      </c>
      <c r="E270" s="107">
        <v>2</v>
      </c>
      <c r="F270" s="110"/>
      <c r="G270" s="107"/>
      <c r="H270" s="507"/>
      <c r="I270" s="107"/>
      <c r="O270" s="49"/>
      <c r="P270" s="49"/>
    </row>
    <row r="271" spans="1:16" s="154" customFormat="1" ht="26.25" hidden="1">
      <c r="A271" s="615"/>
      <c r="B271" s="638"/>
      <c r="C271" s="599" t="s">
        <v>926</v>
      </c>
      <c r="D271" s="111" t="s">
        <v>771</v>
      </c>
      <c r="E271" s="107">
        <v>1</v>
      </c>
      <c r="F271" s="110"/>
      <c r="G271" s="107"/>
      <c r="H271" s="507"/>
      <c r="I271" s="107"/>
      <c r="O271" s="49"/>
      <c r="P271" s="49"/>
    </row>
    <row r="272" spans="1:16" s="154" customFormat="1" ht="39" hidden="1">
      <c r="A272" s="615"/>
      <c r="B272" s="638"/>
      <c r="C272" s="600" t="s">
        <v>945</v>
      </c>
      <c r="D272" s="111" t="s">
        <v>11</v>
      </c>
      <c r="E272" s="107">
        <v>10</v>
      </c>
      <c r="F272" s="110"/>
      <c r="G272" s="107"/>
      <c r="H272" s="507"/>
      <c r="I272" s="107"/>
      <c r="O272" s="49"/>
      <c r="P272" s="49"/>
    </row>
    <row r="273" spans="1:16" s="154" customFormat="1" ht="76.5" customHeight="1" hidden="1">
      <c r="A273" s="615"/>
      <c r="B273" s="638"/>
      <c r="C273" s="138"/>
      <c r="D273" s="111"/>
      <c r="E273" s="107"/>
      <c r="F273" s="110"/>
      <c r="G273" s="107"/>
      <c r="H273" s="507"/>
      <c r="I273" s="107"/>
      <c r="O273" s="49"/>
      <c r="P273" s="49"/>
    </row>
    <row r="274" spans="1:16" s="154" customFormat="1" ht="19.5" customHeight="1">
      <c r="A274" s="844" t="s">
        <v>1037</v>
      </c>
      <c r="B274" s="844"/>
      <c r="C274" s="844"/>
      <c r="D274" s="844"/>
      <c r="E274" s="844"/>
      <c r="F274" s="844"/>
      <c r="G274" s="844"/>
      <c r="H274" s="529"/>
      <c r="I274" s="107"/>
      <c r="O274" s="49"/>
      <c r="P274" s="49"/>
    </row>
    <row r="275" spans="1:16" s="154" customFormat="1" ht="21" customHeight="1" hidden="1">
      <c r="A275" s="846" t="s">
        <v>1038</v>
      </c>
      <c r="B275" s="846"/>
      <c r="C275" s="846"/>
      <c r="D275" s="846"/>
      <c r="E275" s="846"/>
      <c r="F275" s="846"/>
      <c r="G275" s="846"/>
      <c r="H275" s="531"/>
      <c r="I275" s="107"/>
      <c r="K275" s="726">
        <f>H275</f>
        <v>0</v>
      </c>
      <c r="O275" s="49"/>
      <c r="P275" s="49"/>
    </row>
    <row r="276" spans="1:16" s="154" customFormat="1" ht="39.75" customHeight="1">
      <c r="A276" s="609" t="s">
        <v>1029</v>
      </c>
      <c r="B276" s="847" t="s">
        <v>915</v>
      </c>
      <c r="C276" s="847"/>
      <c r="D276" s="847"/>
      <c r="E276" s="847"/>
      <c r="F276" s="847"/>
      <c r="G276" s="847"/>
      <c r="H276" s="847"/>
      <c r="I276" s="847"/>
      <c r="O276" s="49"/>
      <c r="P276" s="49"/>
    </row>
    <row r="277" spans="1:16" s="154" customFormat="1" ht="35.25" customHeight="1">
      <c r="A277" s="610" t="s">
        <v>1048</v>
      </c>
      <c r="B277" s="610" t="s">
        <v>914</v>
      </c>
      <c r="C277" s="816" t="s">
        <v>913</v>
      </c>
      <c r="D277" s="816"/>
      <c r="E277" s="816"/>
      <c r="F277" s="816"/>
      <c r="G277" s="816"/>
      <c r="H277" s="816"/>
      <c r="I277" s="816"/>
      <c r="O277" s="49"/>
      <c r="P277" s="49"/>
    </row>
    <row r="278" spans="1:16" s="154" customFormat="1" ht="17.25" customHeight="1">
      <c r="A278" s="640" t="s">
        <v>34</v>
      </c>
      <c r="B278" s="640" t="s">
        <v>916</v>
      </c>
      <c r="C278" s="871" t="s">
        <v>917</v>
      </c>
      <c r="D278" s="871"/>
      <c r="E278" s="871"/>
      <c r="F278" s="871"/>
      <c r="G278" s="871"/>
      <c r="H278" s="871"/>
      <c r="I278" s="871"/>
      <c r="O278" s="49"/>
      <c r="P278" s="49"/>
    </row>
    <row r="279" spans="1:9" s="154" customFormat="1" ht="27" customHeight="1">
      <c r="A279" s="663" t="s">
        <v>1026</v>
      </c>
      <c r="B279" s="641" t="s">
        <v>929</v>
      </c>
      <c r="C279" s="585" t="s">
        <v>928</v>
      </c>
      <c r="D279" s="577" t="s">
        <v>11</v>
      </c>
      <c r="E279" s="87" t="s">
        <v>34</v>
      </c>
      <c r="F279" s="341">
        <f>I279</f>
        <v>16</v>
      </c>
      <c r="G279" s="606"/>
      <c r="H279" s="505"/>
      <c r="I279" s="106">
        <f>E280</f>
        <v>16</v>
      </c>
    </row>
    <row r="280" spans="1:9" s="154" customFormat="1" ht="39.75" customHeight="1" hidden="1">
      <c r="A280" s="613"/>
      <c r="B280" s="688" t="s">
        <v>927</v>
      </c>
      <c r="C280" s="588" t="s">
        <v>932</v>
      </c>
      <c r="D280" s="580" t="s">
        <v>11</v>
      </c>
      <c r="E280" s="589">
        <v>16</v>
      </c>
      <c r="F280" s="341" t="str">
        <f>I280</f>
        <v>x</v>
      </c>
      <c r="G280" s="589"/>
      <c r="H280" s="505"/>
      <c r="I280" s="131" t="s">
        <v>34</v>
      </c>
    </row>
    <row r="281" spans="1:9" s="154" customFormat="1" ht="26.25">
      <c r="A281" s="663" t="s">
        <v>1051</v>
      </c>
      <c r="B281" s="641" t="s">
        <v>920</v>
      </c>
      <c r="C281" s="585" t="s">
        <v>921</v>
      </c>
      <c r="D281" s="87" t="s">
        <v>771</v>
      </c>
      <c r="E281" s="124" t="s">
        <v>34</v>
      </c>
      <c r="F281" s="341">
        <f>I281</f>
        <v>16</v>
      </c>
      <c r="G281" s="124"/>
      <c r="H281" s="505"/>
      <c r="I281" s="106">
        <f>E282</f>
        <v>16</v>
      </c>
    </row>
    <row r="282" spans="1:9" s="154" customFormat="1" ht="39" hidden="1">
      <c r="A282" s="687"/>
      <c r="B282" s="688" t="s">
        <v>922</v>
      </c>
      <c r="C282" s="588" t="s">
        <v>930</v>
      </c>
      <c r="D282" s="587" t="s">
        <v>11</v>
      </c>
      <c r="E282" s="590">
        <v>16</v>
      </c>
      <c r="F282" s="647"/>
      <c r="G282" s="657"/>
      <c r="H282" s="653"/>
      <c r="I282" s="587" t="s">
        <v>34</v>
      </c>
    </row>
    <row r="283" spans="1:9" s="154" customFormat="1" ht="39" hidden="1">
      <c r="A283" s="687"/>
      <c r="B283" s="688" t="s">
        <v>923</v>
      </c>
      <c r="C283" s="588" t="s">
        <v>946</v>
      </c>
      <c r="D283" s="591" t="s">
        <v>11</v>
      </c>
      <c r="E283" s="492">
        <v>15</v>
      </c>
      <c r="F283" s="124"/>
      <c r="G283" s="492"/>
      <c r="H283" s="507"/>
      <c r="I283" s="131" t="s">
        <v>34</v>
      </c>
    </row>
    <row r="284" spans="1:9" s="154" customFormat="1" ht="26.25" hidden="1">
      <c r="A284" s="872"/>
      <c r="B284" s="873" t="s">
        <v>924</v>
      </c>
      <c r="C284" s="588" t="s">
        <v>925</v>
      </c>
      <c r="D284" s="591" t="s">
        <v>771</v>
      </c>
      <c r="E284" s="492">
        <v>2</v>
      </c>
      <c r="F284" s="124"/>
      <c r="G284" s="492"/>
      <c r="H284" s="507"/>
      <c r="I284" s="131" t="s">
        <v>34</v>
      </c>
    </row>
    <row r="285" spans="1:9" s="154" customFormat="1" ht="26.25" hidden="1">
      <c r="A285" s="872"/>
      <c r="B285" s="873"/>
      <c r="C285" s="588" t="s">
        <v>933</v>
      </c>
      <c r="D285" s="591" t="s">
        <v>771</v>
      </c>
      <c r="E285" s="492">
        <v>1</v>
      </c>
      <c r="F285" s="124"/>
      <c r="G285" s="492"/>
      <c r="H285" s="507"/>
      <c r="I285" s="131" t="s">
        <v>34</v>
      </c>
    </row>
    <row r="286" spans="1:9" s="154" customFormat="1" ht="33" customHeight="1" hidden="1">
      <c r="A286" s="872"/>
      <c r="B286" s="873"/>
      <c r="C286" s="592" t="s">
        <v>934</v>
      </c>
      <c r="D286" s="591" t="s">
        <v>11</v>
      </c>
      <c r="E286" s="492">
        <v>16</v>
      </c>
      <c r="F286" s="124"/>
      <c r="G286" s="492"/>
      <c r="H286" s="507"/>
      <c r="I286" s="131" t="s">
        <v>34</v>
      </c>
    </row>
    <row r="287" spans="1:9" s="154" customFormat="1" ht="26.25" hidden="1">
      <c r="A287" s="872"/>
      <c r="B287" s="873"/>
      <c r="C287" s="592" t="s">
        <v>943</v>
      </c>
      <c r="D287" s="593" t="s">
        <v>771</v>
      </c>
      <c r="E287" s="131">
        <v>2</v>
      </c>
      <c r="F287" s="106"/>
      <c r="G287" s="131"/>
      <c r="H287" s="654"/>
      <c r="I287" s="131" t="s">
        <v>34</v>
      </c>
    </row>
    <row r="288" spans="1:9" s="154" customFormat="1" ht="26.25" hidden="1">
      <c r="A288" s="872"/>
      <c r="B288" s="873"/>
      <c r="C288" s="592" t="s">
        <v>926</v>
      </c>
      <c r="D288" s="594" t="s">
        <v>771</v>
      </c>
      <c r="E288" s="131">
        <v>1</v>
      </c>
      <c r="F288" s="106"/>
      <c r="G288" s="131"/>
      <c r="H288" s="654"/>
      <c r="I288" s="131" t="s">
        <v>34</v>
      </c>
    </row>
    <row r="289" spans="1:9" s="154" customFormat="1" ht="39" hidden="1">
      <c r="A289" s="872"/>
      <c r="B289" s="873"/>
      <c r="C289" s="592" t="s">
        <v>931</v>
      </c>
      <c r="D289" s="594" t="s">
        <v>11</v>
      </c>
      <c r="E289" s="131">
        <v>16</v>
      </c>
      <c r="F289" s="106"/>
      <c r="G289" s="131"/>
      <c r="H289" s="654"/>
      <c r="I289" s="131" t="s">
        <v>34</v>
      </c>
    </row>
    <row r="290" spans="1:10" ht="15">
      <c r="A290" s="844" t="s">
        <v>1049</v>
      </c>
      <c r="B290" s="844"/>
      <c r="C290" s="844"/>
      <c r="D290" s="844"/>
      <c r="E290" s="844"/>
      <c r="F290" s="844"/>
      <c r="G290" s="844"/>
      <c r="H290" s="529"/>
      <c r="I290" s="533"/>
      <c r="J290" s="154"/>
    </row>
    <row r="291" spans="1:11" ht="21" customHeight="1">
      <c r="A291" s="846" t="s">
        <v>1041</v>
      </c>
      <c r="B291" s="846"/>
      <c r="C291" s="846"/>
      <c r="D291" s="846"/>
      <c r="E291" s="846"/>
      <c r="F291" s="846"/>
      <c r="G291" s="846"/>
      <c r="H291" s="531"/>
      <c r="I291" s="533"/>
      <c r="J291" s="154"/>
      <c r="K291" s="726">
        <f>H291</f>
        <v>0</v>
      </c>
    </row>
    <row r="292" spans="1:11" ht="24.75" customHeight="1">
      <c r="A292" s="845" t="s">
        <v>216</v>
      </c>
      <c r="B292" s="845"/>
      <c r="C292" s="845"/>
      <c r="D292" s="845"/>
      <c r="E292" s="845"/>
      <c r="F292" s="845"/>
      <c r="G292" s="845"/>
      <c r="H292" s="513"/>
      <c r="I292" s="533"/>
      <c r="J292" s="154"/>
      <c r="K292" s="726">
        <f>K291+K275+K255+K238+K227+K206+K176+K144+K127+K100+K71+K59+K9</f>
        <v>0</v>
      </c>
    </row>
    <row r="293" spans="1:10" ht="31.5" customHeight="1">
      <c r="A293" s="845" t="s">
        <v>217</v>
      </c>
      <c r="B293" s="845"/>
      <c r="C293" s="845"/>
      <c r="D293" s="845"/>
      <c r="E293" s="845"/>
      <c r="F293" s="845"/>
      <c r="G293" s="845"/>
      <c r="H293" s="513"/>
      <c r="I293" s="533"/>
      <c r="J293" s="154"/>
    </row>
    <row r="294" spans="1:10" ht="36" customHeight="1">
      <c r="A294" s="845" t="s">
        <v>218</v>
      </c>
      <c r="B294" s="845"/>
      <c r="C294" s="845"/>
      <c r="D294" s="845"/>
      <c r="E294" s="845"/>
      <c r="F294" s="845"/>
      <c r="G294" s="845"/>
      <c r="H294" s="513"/>
      <c r="I294" s="533"/>
      <c r="J294" s="154"/>
    </row>
  </sheetData>
  <sheetProtection/>
  <autoFilter ref="A3:I218"/>
  <mergeCells count="113">
    <mergeCell ref="A1:I1"/>
    <mergeCell ref="A2:I2"/>
    <mergeCell ref="B4:I4"/>
    <mergeCell ref="C5:I5"/>
    <mergeCell ref="C6:I6"/>
    <mergeCell ref="A9:G9"/>
    <mergeCell ref="C26:I26"/>
    <mergeCell ref="A59:G59"/>
    <mergeCell ref="C60:I60"/>
    <mergeCell ref="C61:I61"/>
    <mergeCell ref="C66:I66"/>
    <mergeCell ref="A71:G71"/>
    <mergeCell ref="A10:G10"/>
    <mergeCell ref="B11:I11"/>
    <mergeCell ref="C12:I12"/>
    <mergeCell ref="C13:I13"/>
    <mergeCell ref="C16:I16"/>
    <mergeCell ref="C21:I21"/>
    <mergeCell ref="C102:I102"/>
    <mergeCell ref="C105:I105"/>
    <mergeCell ref="C108:I108"/>
    <mergeCell ref="C117:I117"/>
    <mergeCell ref="C122:I122"/>
    <mergeCell ref="A127:G127"/>
    <mergeCell ref="C72:I72"/>
    <mergeCell ref="C73:I73"/>
    <mergeCell ref="C80:I80"/>
    <mergeCell ref="C83:I83"/>
    <mergeCell ref="A100:G100"/>
    <mergeCell ref="C101:I101"/>
    <mergeCell ref="C146:I146"/>
    <mergeCell ref="C154:I154"/>
    <mergeCell ref="C168:I168"/>
    <mergeCell ref="C160:I160"/>
    <mergeCell ref="C173:I173"/>
    <mergeCell ref="A176:G176"/>
    <mergeCell ref="C128:I128"/>
    <mergeCell ref="C129:I129"/>
    <mergeCell ref="C132:I132"/>
    <mergeCell ref="C141:I141"/>
    <mergeCell ref="A144:G144"/>
    <mergeCell ref="C145:I145"/>
    <mergeCell ref="C211:I211"/>
    <mergeCell ref="C216:I216"/>
    <mergeCell ref="C219:I219"/>
    <mergeCell ref="A227:G227"/>
    <mergeCell ref="C228:I228"/>
    <mergeCell ref="C229:I229"/>
    <mergeCell ref="C178:I178"/>
    <mergeCell ref="C183:I183"/>
    <mergeCell ref="C186:I186"/>
    <mergeCell ref="A206:G206"/>
    <mergeCell ref="C207:I207"/>
    <mergeCell ref="C208:I208"/>
    <mergeCell ref="A248:G248"/>
    <mergeCell ref="A249:G249"/>
    <mergeCell ref="B250:I250"/>
    <mergeCell ref="C251:I251"/>
    <mergeCell ref="A254:G254"/>
    <mergeCell ref="A255:G255"/>
    <mergeCell ref="C235:I235"/>
    <mergeCell ref="A238:G238"/>
    <mergeCell ref="A239:G239"/>
    <mergeCell ref="B240:I240"/>
    <mergeCell ref="C241:I241"/>
    <mergeCell ref="C242:I242"/>
    <mergeCell ref="Y259:AD259"/>
    <mergeCell ref="AG259:AL259"/>
    <mergeCell ref="AO259:AT259"/>
    <mergeCell ref="AW259:BB259"/>
    <mergeCell ref="BE259:BJ259"/>
    <mergeCell ref="BM259:BR259"/>
    <mergeCell ref="A256:G256"/>
    <mergeCell ref="B257:I257"/>
    <mergeCell ref="C258:I258"/>
    <mergeCell ref="C259:I259"/>
    <mergeCell ref="J259:N259"/>
    <mergeCell ref="Q259:V259"/>
    <mergeCell ref="HI259:HN259"/>
    <mergeCell ref="HQ259:HV259"/>
    <mergeCell ref="HY259:ID259"/>
    <mergeCell ref="IG259:IL259"/>
    <mergeCell ref="IO259:IT259"/>
    <mergeCell ref="A274:G274"/>
    <mergeCell ref="FM259:FR259"/>
    <mergeCell ref="FU259:FZ259"/>
    <mergeCell ref="GC259:GH259"/>
    <mergeCell ref="GK259:GP259"/>
    <mergeCell ref="GS259:GX259"/>
    <mergeCell ref="HA259:HF259"/>
    <mergeCell ref="DQ259:DV259"/>
    <mergeCell ref="DY259:ED259"/>
    <mergeCell ref="EG259:EL259"/>
    <mergeCell ref="EO259:ET259"/>
    <mergeCell ref="EW259:FB259"/>
    <mergeCell ref="FE259:FJ259"/>
    <mergeCell ref="BU259:BZ259"/>
    <mergeCell ref="CC259:CH259"/>
    <mergeCell ref="CK259:CP259"/>
    <mergeCell ref="CS259:CX259"/>
    <mergeCell ref="DA259:DF259"/>
    <mergeCell ref="DI259:DN259"/>
    <mergeCell ref="A290:G290"/>
    <mergeCell ref="A291:G291"/>
    <mergeCell ref="A292:G292"/>
    <mergeCell ref="A293:G293"/>
    <mergeCell ref="A294:G294"/>
    <mergeCell ref="A275:G275"/>
    <mergeCell ref="B276:I276"/>
    <mergeCell ref="C277:I277"/>
    <mergeCell ref="C278:I278"/>
    <mergeCell ref="A284:A289"/>
    <mergeCell ref="B284:B289"/>
  </mergeCell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  <rowBreaks count="2" manualBreakCount="2">
    <brk id="100" max="8" man="1"/>
    <brk id="227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3:K78"/>
  <sheetViews>
    <sheetView view="pageBreakPreview" zoomScaleSheetLayoutView="100" zoomScalePageLayoutView="0" workbookViewId="0" topLeftCell="A19">
      <selection activeCell="I26" sqref="I26"/>
    </sheetView>
  </sheetViews>
  <sheetFormatPr defaultColWidth="9.125" defaultRowHeight="12.75"/>
  <cols>
    <col min="1" max="1" width="14.50390625" style="95" customWidth="1"/>
    <col min="2" max="2" width="15.125" style="95" customWidth="1"/>
    <col min="3" max="3" width="9.125" style="95" customWidth="1"/>
    <col min="4" max="4" width="60.375" style="95" customWidth="1"/>
    <col min="5" max="5" width="20.625" style="95" customWidth="1"/>
    <col min="6" max="7" width="9.125" style="95" customWidth="1"/>
    <col min="8" max="8" width="10.125" style="95" bestFit="1" customWidth="1"/>
    <col min="9" max="16384" width="9.125" style="95" customWidth="1"/>
  </cols>
  <sheetData>
    <row r="2" ht="13.5" thickBot="1"/>
    <row r="3" spans="1:5" ht="31.5" customHeight="1" thickBot="1">
      <c r="A3" s="785" t="s">
        <v>464</v>
      </c>
      <c r="B3" s="786"/>
      <c r="C3" s="786"/>
      <c r="D3" s="786"/>
      <c r="E3" s="787"/>
    </row>
    <row r="4" spans="2:5" ht="17.25">
      <c r="B4" s="788"/>
      <c r="C4" s="788"/>
      <c r="D4" s="788"/>
      <c r="E4" s="788"/>
    </row>
    <row r="5" spans="1:5" ht="74.25" customHeight="1">
      <c r="A5" s="65" t="s">
        <v>40</v>
      </c>
      <c r="B5" s="789" t="e">
        <f>#REF!</f>
        <v>#REF!</v>
      </c>
      <c r="C5" s="789"/>
      <c r="D5" s="789"/>
      <c r="E5" s="789"/>
    </row>
    <row r="6" spans="2:5" ht="18" thickBot="1">
      <c r="B6" s="788"/>
      <c r="C6" s="788"/>
      <c r="D6" s="788"/>
      <c r="E6" s="788"/>
    </row>
    <row r="7" spans="1:5" ht="37.5" customHeight="1">
      <c r="A7" s="66" t="s">
        <v>87</v>
      </c>
      <c r="B7" s="67" t="s">
        <v>47</v>
      </c>
      <c r="C7" s="790" t="s">
        <v>48</v>
      </c>
      <c r="D7" s="791"/>
      <c r="E7" s="169" t="s">
        <v>49</v>
      </c>
    </row>
    <row r="8" spans="1:5" ht="27.75" customHeight="1">
      <c r="A8" s="68" t="s">
        <v>34</v>
      </c>
      <c r="B8" s="40" t="s">
        <v>33</v>
      </c>
      <c r="C8" s="772" t="s">
        <v>140</v>
      </c>
      <c r="D8" s="773"/>
      <c r="E8" s="170" t="s">
        <v>34</v>
      </c>
    </row>
    <row r="9" spans="1:5" ht="31.5" customHeight="1">
      <c r="A9" s="69" t="s">
        <v>88</v>
      </c>
      <c r="B9" s="41" t="s">
        <v>58</v>
      </c>
      <c r="C9" s="776" t="s">
        <v>50</v>
      </c>
      <c r="D9" s="777"/>
      <c r="E9" s="171">
        <f>KI4!K14</f>
        <v>12000</v>
      </c>
    </row>
    <row r="10" spans="1:5" ht="22.5" customHeight="1">
      <c r="A10" s="768" t="s">
        <v>466</v>
      </c>
      <c r="B10" s="769"/>
      <c r="C10" s="769"/>
      <c r="D10" s="778"/>
      <c r="E10" s="174">
        <f>E9</f>
        <v>12000</v>
      </c>
    </row>
    <row r="11" spans="1:5" ht="21.75" customHeight="1">
      <c r="A11" s="768" t="s">
        <v>81</v>
      </c>
      <c r="B11" s="769"/>
      <c r="C11" s="769"/>
      <c r="D11" s="778"/>
      <c r="E11" s="174">
        <f>E10*0.23</f>
        <v>2760</v>
      </c>
    </row>
    <row r="12" spans="1:5" ht="21" customHeight="1">
      <c r="A12" s="768" t="s">
        <v>467</v>
      </c>
      <c r="B12" s="769"/>
      <c r="C12" s="769"/>
      <c r="D12" s="778"/>
      <c r="E12" s="174">
        <f>E10+E11</f>
        <v>14760</v>
      </c>
    </row>
    <row r="13" spans="1:5" ht="36.75" customHeight="1">
      <c r="A13" s="68" t="s">
        <v>34</v>
      </c>
      <c r="B13" s="40" t="s">
        <v>38</v>
      </c>
      <c r="C13" s="772" t="s">
        <v>465</v>
      </c>
      <c r="D13" s="773"/>
      <c r="E13" s="170" t="s">
        <v>34</v>
      </c>
    </row>
    <row r="14" spans="1:5" ht="15">
      <c r="A14" s="70" t="s">
        <v>89</v>
      </c>
      <c r="B14" s="42" t="s">
        <v>60</v>
      </c>
      <c r="C14" s="763" t="s">
        <v>51</v>
      </c>
      <c r="D14" s="764"/>
      <c r="E14" s="171">
        <f>KI4!K54-KI4!O54</f>
        <v>6112.66</v>
      </c>
    </row>
    <row r="15" spans="1:5" ht="15">
      <c r="A15" s="70" t="s">
        <v>90</v>
      </c>
      <c r="B15" s="42" t="s">
        <v>62</v>
      </c>
      <c r="C15" s="764" t="s">
        <v>80</v>
      </c>
      <c r="D15" s="779"/>
      <c r="E15" s="171">
        <f>KI4!K64-KI4!O64</f>
        <v>823.2</v>
      </c>
    </row>
    <row r="16" spans="1:5" ht="18" customHeight="1">
      <c r="A16" s="70" t="s">
        <v>91</v>
      </c>
      <c r="B16" s="42" t="s">
        <v>52</v>
      </c>
      <c r="C16" s="764" t="s">
        <v>105</v>
      </c>
      <c r="D16" s="779"/>
      <c r="E16" s="171" t="e">
        <f>KI4!K91-KI4!O91</f>
        <v>#REF!</v>
      </c>
    </row>
    <row r="17" spans="1:5" ht="15">
      <c r="A17" s="70" t="s">
        <v>92</v>
      </c>
      <c r="B17" s="42" t="s">
        <v>53</v>
      </c>
      <c r="C17" s="764" t="s">
        <v>54</v>
      </c>
      <c r="D17" s="779"/>
      <c r="E17" s="171" t="e">
        <f>KI4!K122-KI4!O122</f>
        <v>#REF!</v>
      </c>
    </row>
    <row r="18" spans="1:5" ht="15">
      <c r="A18" s="70" t="s">
        <v>93</v>
      </c>
      <c r="B18" s="42" t="s">
        <v>65</v>
      </c>
      <c r="C18" s="780" t="s">
        <v>55</v>
      </c>
      <c r="D18" s="781"/>
      <c r="E18" s="171" t="e">
        <f>KI4!K140-KI4!O140</f>
        <v>#REF!</v>
      </c>
    </row>
    <row r="19" spans="1:5" ht="15">
      <c r="A19" s="70" t="s">
        <v>94</v>
      </c>
      <c r="B19" s="42" t="s">
        <v>67</v>
      </c>
      <c r="C19" s="780" t="s">
        <v>56</v>
      </c>
      <c r="D19" s="781"/>
      <c r="E19" s="171" t="e">
        <f>KI4!K151-KI4!O151</f>
        <v>#REF!</v>
      </c>
    </row>
    <row r="20" spans="1:5" ht="31.5" customHeight="1">
      <c r="A20" s="70" t="s">
        <v>106</v>
      </c>
      <c r="B20" s="42" t="s">
        <v>101</v>
      </c>
      <c r="C20" s="781" t="s">
        <v>137</v>
      </c>
      <c r="D20" s="782"/>
      <c r="E20" s="171">
        <f>KI4!K161-KI4!O161</f>
        <v>-1120</v>
      </c>
    </row>
    <row r="21" spans="1:5" ht="16.5" customHeight="1">
      <c r="A21" s="70" t="s">
        <v>138</v>
      </c>
      <c r="B21" s="42" t="s">
        <v>33</v>
      </c>
      <c r="C21" s="781" t="s">
        <v>57</v>
      </c>
      <c r="D21" s="782"/>
      <c r="E21" s="171">
        <f>KI4!K174-KI4!O174</f>
        <v>11533.35</v>
      </c>
    </row>
    <row r="22" spans="1:5" ht="23.25" customHeight="1">
      <c r="A22" s="882" t="s">
        <v>468</v>
      </c>
      <c r="B22" s="883"/>
      <c r="C22" s="883"/>
      <c r="D22" s="884"/>
      <c r="E22" s="277" t="e">
        <f>SUM(E14:E21)</f>
        <v>#REF!</v>
      </c>
    </row>
    <row r="23" spans="1:5" ht="25.5" customHeight="1">
      <c r="A23" s="768" t="s">
        <v>81</v>
      </c>
      <c r="B23" s="769"/>
      <c r="C23" s="769"/>
      <c r="D23" s="778"/>
      <c r="E23" s="174" t="e">
        <f>E22*0.23</f>
        <v>#REF!</v>
      </c>
    </row>
    <row r="24" spans="1:5" ht="25.5" customHeight="1">
      <c r="A24" s="768" t="s">
        <v>469</v>
      </c>
      <c r="B24" s="769"/>
      <c r="C24" s="769"/>
      <c r="D24" s="778"/>
      <c r="E24" s="174" t="e">
        <f>E22+E23</f>
        <v>#REF!</v>
      </c>
    </row>
    <row r="25" spans="1:5" ht="33" customHeight="1">
      <c r="A25" s="68" t="s">
        <v>34</v>
      </c>
      <c r="B25" s="40" t="s">
        <v>139</v>
      </c>
      <c r="C25" s="772" t="s">
        <v>470</v>
      </c>
      <c r="D25" s="773"/>
      <c r="E25" s="170" t="s">
        <v>34</v>
      </c>
    </row>
    <row r="26" spans="1:9" ht="17.25" customHeight="1">
      <c r="A26" s="70" t="s">
        <v>474</v>
      </c>
      <c r="B26" s="42" t="s">
        <v>60</v>
      </c>
      <c r="C26" s="763" t="s">
        <v>51</v>
      </c>
      <c r="D26" s="764"/>
      <c r="E26" s="171">
        <f>KI4!O54</f>
        <v>1649.55</v>
      </c>
      <c r="I26" s="343"/>
    </row>
    <row r="27" spans="1:5" ht="16.5" customHeight="1">
      <c r="A27" s="70" t="s">
        <v>475</v>
      </c>
      <c r="B27" s="42" t="s">
        <v>62</v>
      </c>
      <c r="C27" s="764" t="s">
        <v>80</v>
      </c>
      <c r="D27" s="779"/>
      <c r="E27" s="171">
        <f>KI4!O64</f>
        <v>452.65</v>
      </c>
    </row>
    <row r="28" spans="1:5" ht="18" customHeight="1">
      <c r="A28" s="70" t="s">
        <v>210</v>
      </c>
      <c r="B28" s="42" t="s">
        <v>52</v>
      </c>
      <c r="C28" s="764" t="s">
        <v>105</v>
      </c>
      <c r="D28" s="779"/>
      <c r="E28" s="171">
        <f>KI4!O91</f>
        <v>10886.99</v>
      </c>
    </row>
    <row r="29" spans="1:5" ht="18.75" customHeight="1">
      <c r="A29" s="70" t="s">
        <v>476</v>
      </c>
      <c r="B29" s="42" t="s">
        <v>53</v>
      </c>
      <c r="C29" s="764" t="s">
        <v>54</v>
      </c>
      <c r="D29" s="779"/>
      <c r="E29" s="171">
        <f>KI4!O122</f>
        <v>5065.1</v>
      </c>
    </row>
    <row r="30" spans="1:5" ht="16.5" customHeight="1">
      <c r="A30" s="70" t="s">
        <v>477</v>
      </c>
      <c r="B30" s="42" t="s">
        <v>65</v>
      </c>
      <c r="C30" s="780" t="s">
        <v>55</v>
      </c>
      <c r="D30" s="781"/>
      <c r="E30" s="171">
        <f>KI4!O140</f>
        <v>10159.71</v>
      </c>
    </row>
    <row r="31" spans="1:5" ht="18" customHeight="1">
      <c r="A31" s="70" t="s">
        <v>478</v>
      </c>
      <c r="B31" s="42" t="s">
        <v>67</v>
      </c>
      <c r="C31" s="780" t="s">
        <v>56</v>
      </c>
      <c r="D31" s="781"/>
      <c r="E31" s="171">
        <f>KI4!O151</f>
        <v>906.51</v>
      </c>
    </row>
    <row r="32" spans="1:5" ht="30.75" customHeight="1">
      <c r="A32" s="70" t="s">
        <v>479</v>
      </c>
      <c r="B32" s="42" t="s">
        <v>101</v>
      </c>
      <c r="C32" s="781" t="s">
        <v>137</v>
      </c>
      <c r="D32" s="782"/>
      <c r="E32" s="171">
        <f>KI4!O161</f>
        <v>1260</v>
      </c>
    </row>
    <row r="33" spans="1:5" ht="21.75" customHeight="1">
      <c r="A33" s="70" t="s">
        <v>480</v>
      </c>
      <c r="B33" s="42" t="s">
        <v>33</v>
      </c>
      <c r="C33" s="781" t="s">
        <v>57</v>
      </c>
      <c r="D33" s="782"/>
      <c r="E33" s="171">
        <f>KI4!O174</f>
        <v>4331.76</v>
      </c>
    </row>
    <row r="34" spans="1:5" ht="25.5" customHeight="1">
      <c r="A34" s="882" t="s">
        <v>471</v>
      </c>
      <c r="B34" s="883"/>
      <c r="C34" s="883"/>
      <c r="D34" s="884"/>
      <c r="E34" s="277">
        <f>SUM(E26:E33)</f>
        <v>34712.27</v>
      </c>
    </row>
    <row r="35" spans="1:5" ht="25.5" customHeight="1">
      <c r="A35" s="768" t="s">
        <v>81</v>
      </c>
      <c r="B35" s="769"/>
      <c r="C35" s="769"/>
      <c r="D35" s="778"/>
      <c r="E35" s="174">
        <f>E34*0.23</f>
        <v>7983.82</v>
      </c>
    </row>
    <row r="36" spans="1:8" ht="25.5" customHeight="1" thickBot="1">
      <c r="A36" s="885" t="s">
        <v>472</v>
      </c>
      <c r="B36" s="886"/>
      <c r="C36" s="886"/>
      <c r="D36" s="887"/>
      <c r="E36" s="278">
        <f>E34+E35</f>
        <v>42696.09</v>
      </c>
      <c r="H36" s="343"/>
    </row>
    <row r="37" spans="1:5" ht="23.25" customHeight="1">
      <c r="A37" s="876" t="s">
        <v>473</v>
      </c>
      <c r="B37" s="877"/>
      <c r="C37" s="877"/>
      <c r="D37" s="877"/>
      <c r="E37" s="279" t="e">
        <f>E10+E22+E34</f>
        <v>#REF!</v>
      </c>
    </row>
    <row r="38" spans="1:5" ht="23.25" customHeight="1">
      <c r="A38" s="878" t="s">
        <v>81</v>
      </c>
      <c r="B38" s="879"/>
      <c r="C38" s="879"/>
      <c r="D38" s="879"/>
      <c r="E38" s="280" t="e">
        <f>E37*0.23</f>
        <v>#REF!</v>
      </c>
    </row>
    <row r="39" spans="1:5" ht="23.25" customHeight="1" thickBot="1">
      <c r="A39" s="880" t="s">
        <v>95</v>
      </c>
      <c r="B39" s="881"/>
      <c r="C39" s="881"/>
      <c r="D39" s="881"/>
      <c r="E39" s="281" t="e">
        <f>E37+E38</f>
        <v>#REF!</v>
      </c>
    </row>
    <row r="66" spans="1:11" ht="12.75">
      <c r="A66" s="329" t="e">
        <f>E37</f>
        <v>#REF!</v>
      </c>
      <c r="B66" s="330"/>
      <c r="C66" s="330"/>
      <c r="D66" s="330"/>
      <c r="E66" s="330"/>
      <c r="F66" s="330"/>
      <c r="G66" s="838" t="s">
        <v>496</v>
      </c>
      <c r="H66" s="838"/>
      <c r="I66" s="330"/>
      <c r="J66" s="330"/>
      <c r="K66" s="331"/>
    </row>
    <row r="67" spans="1:11" ht="12.75">
      <c r="A67" s="332"/>
      <c r="B67" s="330"/>
      <c r="C67" s="333" t="s">
        <v>497</v>
      </c>
      <c r="D67" s="334" t="s">
        <v>498</v>
      </c>
      <c r="E67" s="333" t="s">
        <v>497</v>
      </c>
      <c r="F67" s="334" t="s">
        <v>498</v>
      </c>
      <c r="G67" s="333" t="s">
        <v>497</v>
      </c>
      <c r="H67" s="334" t="s">
        <v>498</v>
      </c>
      <c r="I67" s="335" t="s">
        <v>499</v>
      </c>
      <c r="J67" s="336" t="s">
        <v>500</v>
      </c>
      <c r="K67" s="331"/>
    </row>
    <row r="68" spans="1:11" ht="12.75">
      <c r="A68" s="330" t="e">
        <f>INT(A$66/10000000)</f>
        <v>#REF!</v>
      </c>
      <c r="B68" s="330"/>
      <c r="C68" s="337" t="e">
        <f>IF(AND(A68&gt;=0,A68&lt;=5),1,0)</f>
        <v>#REF!</v>
      </c>
      <c r="D68" s="337" t="e">
        <f>IF(AND(A68&gt;=6,A68&lt;=9),1,0)</f>
        <v>#REF!</v>
      </c>
      <c r="E68" s="338" t="e">
        <f>IF(A68=0,"",IF(A68=1,IF(A69=0,"dziesięć milionów ",""),IF(A68=2,"dwadzieścia ",IF(A68=3,"trzydzieści ",IF(A68=4,"czterdzieści ",IF(A68=5,"pięćdziesiąt ",""))))))</f>
        <v>#REF!</v>
      </c>
      <c r="F68" s="338" t="e">
        <f>IF(A68=6,"sześćdziesiąt ",IF(A68=7,"siedemdziesiąt ",IF(A68=8,"osiemdziesiąt ",IF(A68=9,"dziewięćdziesiąt ",""))))</f>
        <v>#REF!</v>
      </c>
      <c r="G68" s="330"/>
      <c r="H68" s="330"/>
      <c r="I68" s="330"/>
      <c r="J68" s="338" t="e">
        <f>IF(C68,E68&amp;I68,IF(D68,F68&amp;I68,""))</f>
        <v>#REF!</v>
      </c>
      <c r="K68" s="331"/>
    </row>
    <row r="69" spans="1:11" ht="12.75">
      <c r="A69" s="332" t="e">
        <f>INT(A$66/1000000)-A68*10</f>
        <v>#REF!</v>
      </c>
      <c r="B69" s="330"/>
      <c r="C69" s="337" t="e">
        <f aca="true" t="shared" si="0" ref="C69:C75">IF(AND(A69&gt;=0,A69&lt;=5),1,0)</f>
        <v>#REF!</v>
      </c>
      <c r="D69" s="337" t="e">
        <f aca="true" t="shared" si="1" ref="D69:D75">IF(AND(A69&gt;=6,A69&lt;=9),1,0)</f>
        <v>#REF!</v>
      </c>
      <c r="E69" s="338" t="e">
        <f>IF(A69=0,IF(AND(A68&lt;&gt;0,A68&lt;&gt;1),"milionów ",""),IF(A69=1,IF(A68=0,"jeden milion ","jeden milionów "),IF(A69=2,"dwa miliony ",IF(A69=3,"trzy miliony ",IF(A69=4,"cztery miliony ",IF(A69=5,"pięć milionów ",""))))))</f>
        <v>#REF!</v>
      </c>
      <c r="F69" s="338" t="e">
        <f>IF(A69=6,"sześć milionów ",IF(A69=7,"siedem milionów ",IF(A69=8,"osiem milionów ",IF(A69=9,"dziewięć milionów ",""))))</f>
        <v>#REF!</v>
      </c>
      <c r="G69" s="338" t="e">
        <f>IF(A69=0,"",IF(A69=1,"jedenaście milionów ",IF(A69=2,"dwanaście milionów ",IF(A69=3,"trzynaście milionów ",IF(A69=4,"czternaście milionów ",IF(A69=5,"piętnaście milionów ",""))))))</f>
        <v>#REF!</v>
      </c>
      <c r="H69" s="338" t="e">
        <f>IF(A69=6,"szesnaście milionów ",IF(A69=7,"siedemnaście milionów ",IF(A69=8,"osiemnaście milionów ",IF(A69=9,"dziewiętnaście milionów ",""))))</f>
        <v>#REF!</v>
      </c>
      <c r="I69" s="330"/>
      <c r="J69" s="338" t="e">
        <f>IF(A68=1,IF(C69,G69,IF(D69,H69)),IF(C69,E69,IF(D69,F69,"")))</f>
        <v>#REF!</v>
      </c>
      <c r="K69" s="331"/>
    </row>
    <row r="70" spans="1:11" ht="12.75">
      <c r="A70" s="330" t="e">
        <f>INT(A$66/100000)-10*A69-100*A68</f>
        <v>#REF!</v>
      </c>
      <c r="B70" s="330"/>
      <c r="C70" s="337" t="e">
        <f t="shared" si="0"/>
        <v>#REF!</v>
      </c>
      <c r="D70" s="337" t="e">
        <f t="shared" si="1"/>
        <v>#REF!</v>
      </c>
      <c r="E70" s="338" t="e">
        <f>IF(A70=0,"",IF(A70=1,"sto ",IF(A70=2,"dwieście ",IF(A70=3,"trzysta ",IF(A70=4,"czterysta ",IF(A70=5,"pięćset ",""))))))</f>
        <v>#REF!</v>
      </c>
      <c r="F70" s="338" t="e">
        <f>IF(A70=6,"sześćset ",IF(A70=7,"siedemset ",IF(A70=8,"osiemset ",IF(A70=9,"dziewięćset ",""))))</f>
        <v>#REF!</v>
      </c>
      <c r="G70" s="330"/>
      <c r="H70" s="330"/>
      <c r="I70" s="330"/>
      <c r="J70" s="338" t="e">
        <f>IF(C70,E70&amp;I70,IF(D70,F70&amp;I70,""))</f>
        <v>#REF!</v>
      </c>
      <c r="K70" s="331"/>
    </row>
    <row r="71" spans="1:11" ht="12.75">
      <c r="A71" s="330" t="e">
        <f>INT(A$66/10000)-10*A70-100*A69-1000*A68</f>
        <v>#REF!</v>
      </c>
      <c r="B71" s="330"/>
      <c r="C71" s="337" t="e">
        <f t="shared" si="0"/>
        <v>#REF!</v>
      </c>
      <c r="D71" s="337" t="e">
        <f t="shared" si="1"/>
        <v>#REF!</v>
      </c>
      <c r="E71" s="338" t="e">
        <f>IF(A71=0,"",IF(A71=1,IF(A72=0,"dziesięć tysięcy ",""),IF(A71=2,"dwadzieścia ",IF(A71=3,"trzydzieści ",IF(A71=4,"czterdzieści ",IF(A71=5,"pięćdziesiąt ",""))))))</f>
        <v>#REF!</v>
      </c>
      <c r="F71" s="338" t="e">
        <f>IF(A71=6,"sześćdziesiąt ",IF(A71=7,"siedemdziesiąt ",IF(A71=8,"osiemdziesiąt ",IF(A71=9,"dziewięćdziesiąt ",""))))</f>
        <v>#REF!</v>
      </c>
      <c r="G71" s="330"/>
      <c r="H71" s="330"/>
      <c r="I71" s="330"/>
      <c r="J71" s="338" t="e">
        <f>IF(C71,E71&amp;I71,IF(D71,F71&amp;I71,""))</f>
        <v>#REF!</v>
      </c>
      <c r="K71" s="331"/>
    </row>
    <row r="72" spans="1:11" ht="12.75">
      <c r="A72" s="332" t="e">
        <f>INT(A$66/1000)-10*A71-100*A70-1000*A69-10000*A68</f>
        <v>#REF!</v>
      </c>
      <c r="B72" s="330"/>
      <c r="C72" s="337" t="e">
        <f t="shared" si="0"/>
        <v>#REF!</v>
      </c>
      <c r="D72" s="337" t="e">
        <f t="shared" si="1"/>
        <v>#REF!</v>
      </c>
      <c r="E72" s="338" t="e">
        <f>IF(A72=0,IF(OR(AND(A71&lt;&gt;0,A71&lt;&gt;1),AND(A70&lt;&gt;0,A71=0)),"tysięcy ",""),IF(A72=1,IF(AND(A70=0,A71=0),"jeden tysiąc ","jeden tysięcy "),IF(A72=2,"dwa tysiące ",IF(A72=3,"trzy tysiące ",IF(A72=4,"cztery tysiące ",IF(A72=5,"pięć tysięcy ",""))))))</f>
        <v>#REF!</v>
      </c>
      <c r="F72" s="338" t="e">
        <f>IF(A72=6,"sześć tysięcy ",IF(A72=7,"siedem tysięcy ",IF(A72=8,"osiem tysięcy ",IF(A72=9,"dziewięć tysięcy ",""))))</f>
        <v>#REF!</v>
      </c>
      <c r="G72" s="338" t="e">
        <f>IF(A72=0,"",IF(A72=1,"jedenaście tysięcy ",IF(A72=2,"dwanaście tysięcy ",IF(A72=3,"trzynaście tysięcy ",IF(A72=4,"czternaście tysięcy ",IF(A72=5,"piętnaście tysięcy ",""))))))</f>
        <v>#REF!</v>
      </c>
      <c r="H72" s="338" t="e">
        <f>IF(A72=6,"szesnaście tysięcy ",IF(A72=7,"siedemnaście tysięcy ",IF(A72=8,"osiemnaście tysięcy ",IF(A72=9,"dziewiętnaście tysięcy ",""))))</f>
        <v>#REF!</v>
      </c>
      <c r="I72" s="330"/>
      <c r="J72" s="338" t="e">
        <f>IF(A71=1,IF(C72,G72,IF(D72,H72)),IF(C72,E72,IF(D72,F72,"")))</f>
        <v>#REF!</v>
      </c>
      <c r="K72" s="330"/>
    </row>
    <row r="73" spans="1:11" ht="12.75">
      <c r="A73" s="330" t="e">
        <f>INT(A$66/100)-10*A72-100*A71-1000*A70-10000*A69-100000*A68</f>
        <v>#REF!</v>
      </c>
      <c r="B73" s="330"/>
      <c r="C73" s="337" t="e">
        <f t="shared" si="0"/>
        <v>#REF!</v>
      </c>
      <c r="D73" s="337" t="e">
        <f t="shared" si="1"/>
        <v>#REF!</v>
      </c>
      <c r="E73" s="338" t="e">
        <f>IF(A73=0,"",IF(A73=1,"sto ",IF(A73=2,"dwieście ",IF(A73=3,"trzysta ",IF(A73=4,"czterysta ",IF(A73=5,"pięćset ",""))))))</f>
        <v>#REF!</v>
      </c>
      <c r="F73" s="338" t="e">
        <f>IF(A73=6,"sześćset ",IF(A73=7,"siedemset ",IF(A73=8,"osiemset ",IF(A73=9,"dziewięćset ",""))))</f>
        <v>#REF!</v>
      </c>
      <c r="G73" s="330"/>
      <c r="H73" s="330"/>
      <c r="I73" s="330"/>
      <c r="J73" s="338" t="e">
        <f>IF(C73,E73&amp;I73,IF(D73,F73&amp;I73,""))</f>
        <v>#REF!</v>
      </c>
      <c r="K73" s="330"/>
    </row>
    <row r="74" spans="1:11" ht="12.75">
      <c r="A74" s="330" t="e">
        <f>INT(A$66/10)-10*A73-100*A72-1000*A71-10000*A70-100000*A69-1000000*A68</f>
        <v>#REF!</v>
      </c>
      <c r="B74" s="330"/>
      <c r="C74" s="337" t="e">
        <f t="shared" si="0"/>
        <v>#REF!</v>
      </c>
      <c r="D74" s="337" t="e">
        <f t="shared" si="1"/>
        <v>#REF!</v>
      </c>
      <c r="E74" s="338" t="e">
        <f>IF(A74=0,"",IF(A74=1,IF(A75=0,"dziesięć ",""),IF(A74=2,"dwadzieścia ",IF(A74=3,"trzydzieści ",IF(A74=4,"czterdzieści ",IF(A74=5,"pięćdziesiąt ",""))))))</f>
        <v>#REF!</v>
      </c>
      <c r="F74" s="338" t="e">
        <f>IF(A74=6,"sześćdziesiąt ",IF(A74=7,"siedemdziesiąt ",IF(A74=8,"osiemdziesiąt ",IF(A74=9,"dziewięćdziesiąt ",""))))</f>
        <v>#REF!</v>
      </c>
      <c r="G74" s="330"/>
      <c r="H74" s="330"/>
      <c r="I74" s="330"/>
      <c r="J74" s="338" t="e">
        <f>IF(C74,E74&amp;I74,IF(D74,F74&amp;I74,""))</f>
        <v>#REF!</v>
      </c>
      <c r="K74" s="330"/>
    </row>
    <row r="75" spans="1:11" ht="12.75">
      <c r="A75" s="332" t="e">
        <f>INT(A$66)-10*A74-100*A73-1000*A72-10000*A71-100000*A70-1000000*A69-10000000*A68</f>
        <v>#REF!</v>
      </c>
      <c r="B75" s="330"/>
      <c r="C75" s="337" t="e">
        <f t="shared" si="0"/>
        <v>#REF!</v>
      </c>
      <c r="D75" s="337" t="e">
        <f t="shared" si="1"/>
        <v>#REF!</v>
      </c>
      <c r="E75" s="338" t="e">
        <f>IF(A75=0,"",IF(A75=1,"jeden ",IF(A75=2,"dwa ",IF(A75=3,"trzy ",IF(A75=4,"cztery ",IF(A75=5,"pięć ",""))))))</f>
        <v>#REF!</v>
      </c>
      <c r="F75" s="338" t="e">
        <f>IF(A75=6,"sześć ",IF(A75=7,"siedem ",IF(A75=8,"osiem ",IF(A75=9,"dziewięć ",""))))</f>
        <v>#REF!</v>
      </c>
      <c r="G75" s="338" t="e">
        <f>IF(A75=0,"",IF(A75=1,"jedenaście ",IF(A75=2,"dwanaście ",IF(A75=3,"trzynaście ",IF(A75=4,"czternaście ",IF(A75=5,"piętnaście ",""))))))</f>
        <v>#REF!</v>
      </c>
      <c r="H75" s="338" t="e">
        <f>IF(A75=6,"szesnaście ",IF(A75=7,"siedemnaście ",IF(A75=8,"osiemnaście ",IF(A75=9,"dziewiętnaście ",""))))</f>
        <v>#REF!</v>
      </c>
      <c r="I75" s="330"/>
      <c r="J75" s="338" t="e">
        <f>IF(A74=1,IF(C75,G75,IF(D75,H75)),IF(C75,E75,IF(D75,F75,"")))</f>
        <v>#REF!</v>
      </c>
      <c r="K75" s="330"/>
    </row>
    <row r="76" spans="1:11" ht="12.75">
      <c r="A76" s="339" t="e">
        <f>ROUND((A66-TRUNC(A66,0))*100,0)</f>
        <v>#REF!</v>
      </c>
      <c r="B76" s="330"/>
      <c r="C76" s="330"/>
      <c r="D76" s="330"/>
      <c r="E76" s="330"/>
      <c r="F76" s="330"/>
      <c r="G76" s="330"/>
      <c r="H76" s="330"/>
      <c r="I76" s="330"/>
      <c r="J76" s="338" t="e">
        <f>"zł "&amp;A76&amp;"/100"</f>
        <v>#REF!</v>
      </c>
      <c r="K76" s="330"/>
    </row>
    <row r="77" spans="1:11" ht="12.75">
      <c r="A77" s="330"/>
      <c r="B77" s="330"/>
      <c r="C77" s="330"/>
      <c r="D77" s="330"/>
      <c r="E77" s="336" t="s">
        <v>45</v>
      </c>
      <c r="F77" s="330"/>
      <c r="G77" s="330"/>
      <c r="H77" s="330"/>
      <c r="I77" s="330"/>
      <c r="J77" s="330"/>
      <c r="K77" s="330"/>
    </row>
    <row r="78" spans="1:11" ht="12.75">
      <c r="A78" s="329" t="e">
        <f>TRUNC(A66,1)</f>
        <v>#REF!</v>
      </c>
      <c r="B78" s="330"/>
      <c r="C78" s="330"/>
      <c r="D78" s="330"/>
      <c r="E78" s="338" t="e">
        <f>J68&amp;J69&amp;J70&amp;J71&amp;J72&amp;J73&amp;J74&amp;J75&amp;J76</f>
        <v>#REF!</v>
      </c>
      <c r="F78" s="338"/>
      <c r="G78" s="338"/>
      <c r="H78" s="338"/>
      <c r="I78" s="338"/>
      <c r="J78" s="338"/>
      <c r="K78" s="330"/>
    </row>
  </sheetData>
  <sheetProtection/>
  <mergeCells count="38">
    <mergeCell ref="A35:D35"/>
    <mergeCell ref="C30:D30"/>
    <mergeCell ref="C31:D31"/>
    <mergeCell ref="C32:D32"/>
    <mergeCell ref="C33:D33"/>
    <mergeCell ref="A34:D34"/>
    <mergeCell ref="A38:D38"/>
    <mergeCell ref="A39:D39"/>
    <mergeCell ref="A11:D11"/>
    <mergeCell ref="A12:D12"/>
    <mergeCell ref="A22:D22"/>
    <mergeCell ref="A23:D23"/>
    <mergeCell ref="A24:D24"/>
    <mergeCell ref="C17:D17"/>
    <mergeCell ref="C18:D18"/>
    <mergeCell ref="C16:D16"/>
    <mergeCell ref="A36:D36"/>
    <mergeCell ref="C25:D25"/>
    <mergeCell ref="C26:D26"/>
    <mergeCell ref="C27:D27"/>
    <mergeCell ref="C28:D28"/>
    <mergeCell ref="C29:D29"/>
    <mergeCell ref="G66:H66"/>
    <mergeCell ref="A3:E3"/>
    <mergeCell ref="B4:E4"/>
    <mergeCell ref="B5:E5"/>
    <mergeCell ref="B6:E6"/>
    <mergeCell ref="C7:D7"/>
    <mergeCell ref="C8:D8"/>
    <mergeCell ref="C19:D19"/>
    <mergeCell ref="C20:D20"/>
    <mergeCell ref="C21:D21"/>
    <mergeCell ref="C9:D9"/>
    <mergeCell ref="A10:D10"/>
    <mergeCell ref="C13:D13"/>
    <mergeCell ref="C14:D14"/>
    <mergeCell ref="C15:D15"/>
    <mergeCell ref="A37:D37"/>
  </mergeCells>
  <printOptions/>
  <pageMargins left="0.7" right="0.7" top="0.75" bottom="0.75" header="0.3" footer="0.3"/>
  <pageSetup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Marta Cesarz</cp:lastModifiedBy>
  <cp:lastPrinted>2018-04-19T11:43:05Z</cp:lastPrinted>
  <dcterms:created xsi:type="dcterms:W3CDTF">1997-02-26T13:46:56Z</dcterms:created>
  <dcterms:modified xsi:type="dcterms:W3CDTF">2018-05-02T10:26:32Z</dcterms:modified>
  <cp:category/>
  <cp:version/>
  <cp:contentType/>
  <cp:contentStatus/>
</cp:coreProperties>
</file>